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795" yWindow="2400" windowWidth="15480" windowHeight="10260" tabRatio="631"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Лист1" sheetId="22" r:id="rId22"/>
  </sheets>
  <definedNames>
    <definedName name="_xlnm.Print_Titles" localSheetId="0">'1'!$19:$23</definedName>
    <definedName name="_xlnm.Print_Titles" localSheetId="11">'11.2'!$17:$17</definedName>
    <definedName name="_xlnm.Print_Titles" localSheetId="12">'11.3'!$14:$14</definedName>
    <definedName name="_xlnm.Print_Area" localSheetId="0">'1'!$A$1:$W$95</definedName>
    <definedName name="_xlnm.Print_Area" localSheetId="9">'10'!$A$1:$R$93</definedName>
    <definedName name="_xlnm.Print_Area" localSheetId="10">'11.1'!$A$1:$AH$17</definedName>
    <definedName name="_xlnm.Print_Area" localSheetId="11">'11.2'!$A$5:$O$162</definedName>
    <definedName name="_xlnm.Print_Area" localSheetId="12">'11.3'!$A$5:$I$37</definedName>
    <definedName name="_xlnm.Print_Area" localSheetId="14">'13'!$A$1:$K$95</definedName>
    <definedName name="_xlnm.Print_Area" localSheetId="15">'14'!$A$1:$S$94</definedName>
    <definedName name="_xlnm.Print_Area" localSheetId="16">'15'!$A$1:$Y$15</definedName>
    <definedName name="_xlnm.Print_Area" localSheetId="17">'16'!$A$1:$X$15</definedName>
    <definedName name="_xlnm.Print_Area" localSheetId="18">'17'!$A$1:$G$28</definedName>
    <definedName name="_xlnm.Print_Area" localSheetId="19">'18'!$A$1:$F$20</definedName>
    <definedName name="_xlnm.Print_Area" localSheetId="1">'2'!$A$1:$AS$103</definedName>
    <definedName name="_xlnm.Print_Area" localSheetId="3">'4'!$A$1:$AV$102</definedName>
    <definedName name="_xlnm.Print_Area" localSheetId="4">'5'!$A$1:$AL$98</definedName>
    <definedName name="_xlnm.Print_Area" localSheetId="5">'6'!$A$1:$AB$94</definedName>
    <definedName name="_xlnm.Print_Area" localSheetId="6">'7'!$A$1:$AT$97</definedName>
    <definedName name="_xlnm.Print_Area" localSheetId="7">'8'!$A$1:$N$107</definedName>
    <definedName name="_xlnm.Print_Area" localSheetId="8">'9'!$A$1:$F$103</definedName>
  </definedNames>
  <calcPr fullCalcOnLoad="1"/>
</workbook>
</file>

<file path=xl/comments2.xml><?xml version="1.0" encoding="utf-8"?>
<comments xmlns="http://schemas.openxmlformats.org/spreadsheetml/2006/main">
  <authors>
    <author>Андрей</author>
  </authors>
  <commentList>
    <comment ref="L65" authorId="0">
      <text>
        <r>
          <rPr>
            <b/>
            <sz val="12"/>
            <rFont val="Tahoma"/>
            <family val="2"/>
          </rPr>
          <t xml:space="preserve">НДС не облагается
</t>
        </r>
      </text>
    </comment>
    <comment ref="L66" authorId="0">
      <text>
        <r>
          <rPr>
            <b/>
            <sz val="12"/>
            <rFont val="Tahoma"/>
            <family val="2"/>
          </rPr>
          <t xml:space="preserve">НДС не облагается
</t>
        </r>
        <r>
          <rPr>
            <sz val="8"/>
            <rFont val="Tahoma"/>
            <family val="2"/>
          </rPr>
          <t xml:space="preserve">
</t>
        </r>
      </text>
    </comment>
    <comment ref="L67" authorId="0">
      <text>
        <r>
          <rPr>
            <b/>
            <sz val="12"/>
            <rFont val="Tahoma"/>
            <family val="2"/>
          </rPr>
          <t>НДС не облагается</t>
        </r>
        <r>
          <rPr>
            <sz val="8"/>
            <rFont val="Tahoma"/>
            <family val="2"/>
          </rPr>
          <t xml:space="preserve">
</t>
        </r>
      </text>
    </comment>
    <comment ref="L68" authorId="0">
      <text>
        <r>
          <rPr>
            <b/>
            <sz val="12"/>
            <rFont val="Tahoma"/>
            <family val="2"/>
          </rPr>
          <t>НДС не облагается</t>
        </r>
        <r>
          <rPr>
            <sz val="8"/>
            <rFont val="Tahoma"/>
            <family val="2"/>
          </rPr>
          <t xml:space="preserve">
</t>
        </r>
      </text>
    </comment>
    <comment ref="L69" authorId="0">
      <text>
        <r>
          <rPr>
            <b/>
            <sz val="12"/>
            <rFont val="Tahoma"/>
            <family val="2"/>
          </rPr>
          <t>НДС не облагается</t>
        </r>
        <r>
          <rPr>
            <sz val="8"/>
            <rFont val="Tahoma"/>
            <family val="2"/>
          </rPr>
          <t xml:space="preserve">
</t>
        </r>
      </text>
    </comment>
    <comment ref="L70" authorId="0">
      <text>
        <r>
          <rPr>
            <b/>
            <sz val="12"/>
            <rFont val="Tahoma"/>
            <family val="2"/>
          </rPr>
          <t>НДС не облагается</t>
        </r>
        <r>
          <rPr>
            <sz val="8"/>
            <rFont val="Tahoma"/>
            <family val="2"/>
          </rPr>
          <t xml:space="preserve">
</t>
        </r>
      </text>
    </comment>
    <comment ref="L71" authorId="0">
      <text>
        <r>
          <rPr>
            <b/>
            <sz val="12"/>
            <rFont val="Tahoma"/>
            <family val="2"/>
          </rPr>
          <t>НДС не облагается</t>
        </r>
      </text>
    </comment>
    <comment ref="L72" authorId="0">
      <text>
        <r>
          <rPr>
            <b/>
            <sz val="12"/>
            <rFont val="Tahoma"/>
            <family val="2"/>
          </rPr>
          <t>НДС не облагается</t>
        </r>
        <r>
          <rPr>
            <sz val="8"/>
            <rFont val="Tahoma"/>
            <family val="2"/>
          </rPr>
          <t xml:space="preserve">
</t>
        </r>
      </text>
    </comment>
    <comment ref="L73" authorId="0">
      <text>
        <r>
          <rPr>
            <b/>
            <sz val="12"/>
            <rFont val="Tahoma"/>
            <family val="2"/>
          </rPr>
          <t>НДС не облагается</t>
        </r>
        <r>
          <rPr>
            <sz val="8"/>
            <rFont val="Tahoma"/>
            <family val="2"/>
          </rPr>
          <t xml:space="preserve">
</t>
        </r>
      </text>
    </comment>
    <comment ref="L74" authorId="0">
      <text>
        <r>
          <rPr>
            <b/>
            <sz val="12"/>
            <rFont val="Tahoma"/>
            <family val="2"/>
          </rPr>
          <t>НДС не облагается</t>
        </r>
        <r>
          <rPr>
            <sz val="8"/>
            <rFont val="Tahoma"/>
            <family val="2"/>
          </rPr>
          <t xml:space="preserve">
</t>
        </r>
      </text>
    </comment>
    <comment ref="L80" authorId="0">
      <text>
        <r>
          <rPr>
            <b/>
            <sz val="12"/>
            <rFont val="Tahoma"/>
            <family val="2"/>
          </rPr>
          <t>НДС не облагается</t>
        </r>
        <r>
          <rPr>
            <sz val="8"/>
            <rFont val="Tahoma"/>
            <family val="0"/>
          </rPr>
          <t xml:space="preserve">
</t>
        </r>
      </text>
    </comment>
    <comment ref="L81" authorId="0">
      <text>
        <r>
          <rPr>
            <b/>
            <sz val="12"/>
            <rFont val="Tahoma"/>
            <family val="2"/>
          </rPr>
          <t>НДС не облагается</t>
        </r>
        <r>
          <rPr>
            <sz val="8"/>
            <rFont val="Tahoma"/>
            <family val="2"/>
          </rPr>
          <t xml:space="preserve">
</t>
        </r>
      </text>
    </comment>
    <comment ref="L82" authorId="0">
      <text>
        <r>
          <rPr>
            <b/>
            <sz val="12"/>
            <rFont val="Tahoma"/>
            <family val="2"/>
          </rPr>
          <t>НДС не облагается</t>
        </r>
        <r>
          <rPr>
            <sz val="8"/>
            <rFont val="Tahoma"/>
            <family val="2"/>
          </rPr>
          <t xml:space="preserve">
</t>
        </r>
      </text>
    </comment>
    <comment ref="L83" authorId="0">
      <text>
        <r>
          <rPr>
            <b/>
            <sz val="12"/>
            <rFont val="Tahoma"/>
            <family val="2"/>
          </rPr>
          <t>НДС не облагается</t>
        </r>
        <r>
          <rPr>
            <sz val="8"/>
            <rFont val="Tahoma"/>
            <family val="2"/>
          </rPr>
          <t xml:space="preserve">
</t>
        </r>
      </text>
    </comment>
    <comment ref="L84" authorId="0">
      <text>
        <r>
          <rPr>
            <b/>
            <sz val="12"/>
            <rFont val="Tahoma"/>
            <family val="2"/>
          </rPr>
          <t>НДС не облагается</t>
        </r>
      </text>
    </comment>
    <comment ref="L85" authorId="0">
      <text>
        <r>
          <rPr>
            <b/>
            <sz val="12"/>
            <rFont val="Tahoma"/>
            <family val="2"/>
          </rPr>
          <t>НДС не облагается</t>
        </r>
        <r>
          <rPr>
            <sz val="8"/>
            <rFont val="Tahoma"/>
            <family val="2"/>
          </rPr>
          <t xml:space="preserve">
</t>
        </r>
      </text>
    </comment>
    <comment ref="L48" authorId="0">
      <text>
        <r>
          <rPr>
            <b/>
            <sz val="11"/>
            <rFont val="Tahoma"/>
            <family val="2"/>
          </rPr>
          <t>Миша согласовал с директором и гл.бухом</t>
        </r>
        <r>
          <rPr>
            <sz val="8"/>
            <rFont val="Tahoma"/>
            <family val="2"/>
          </rPr>
          <t xml:space="preserve">
</t>
        </r>
      </text>
    </comment>
  </commentList>
</comments>
</file>

<file path=xl/comments3.xml><?xml version="1.0" encoding="utf-8"?>
<comments xmlns="http://schemas.openxmlformats.org/spreadsheetml/2006/main">
  <authors>
    <author>Андрей</author>
  </authors>
  <commentList>
    <comment ref="I68" authorId="0">
      <text>
        <r>
          <rPr>
            <b/>
            <sz val="12"/>
            <rFont val="Tahoma"/>
            <family val="2"/>
          </rPr>
          <t>НДС не облагается</t>
        </r>
      </text>
    </comment>
    <comment ref="I69" authorId="0">
      <text>
        <r>
          <rPr>
            <b/>
            <sz val="12"/>
            <rFont val="Tahoma"/>
            <family val="2"/>
          </rPr>
          <t>НДС не облагается</t>
        </r>
        <r>
          <rPr>
            <sz val="8"/>
            <rFont val="Tahoma"/>
            <family val="0"/>
          </rPr>
          <t xml:space="preserve">
</t>
        </r>
      </text>
    </comment>
    <comment ref="I70" authorId="0">
      <text>
        <r>
          <rPr>
            <b/>
            <sz val="12"/>
            <rFont val="Tahoma"/>
            <family val="2"/>
          </rPr>
          <t>НДС не облагается</t>
        </r>
      </text>
    </comment>
    <comment ref="I71" authorId="0">
      <text>
        <r>
          <rPr>
            <b/>
            <sz val="12"/>
            <rFont val="Tahoma"/>
            <family val="2"/>
          </rPr>
          <t>НДС не облагается</t>
        </r>
        <r>
          <rPr>
            <sz val="8"/>
            <rFont val="Tahoma"/>
            <family val="2"/>
          </rPr>
          <t xml:space="preserve">
</t>
        </r>
      </text>
    </comment>
    <comment ref="I72" authorId="0">
      <text>
        <r>
          <rPr>
            <b/>
            <sz val="12"/>
            <rFont val="Tahoma"/>
            <family val="2"/>
          </rPr>
          <t>НДС не облагается</t>
        </r>
      </text>
    </comment>
    <comment ref="I73" authorId="0">
      <text>
        <r>
          <rPr>
            <b/>
            <sz val="12"/>
            <rFont val="Tahoma"/>
            <family val="2"/>
          </rPr>
          <t>НДС не облагается</t>
        </r>
        <r>
          <rPr>
            <sz val="8"/>
            <rFont val="Tahoma"/>
            <family val="2"/>
          </rPr>
          <t xml:space="preserve">
</t>
        </r>
      </text>
    </comment>
    <comment ref="I74" authorId="0">
      <text>
        <r>
          <rPr>
            <b/>
            <sz val="12"/>
            <rFont val="Tahoma"/>
            <family val="2"/>
          </rPr>
          <t>НДС не облагается</t>
        </r>
      </text>
    </comment>
    <comment ref="I75" authorId="0">
      <text>
        <r>
          <rPr>
            <b/>
            <sz val="12"/>
            <rFont val="Tahoma"/>
            <family val="2"/>
          </rPr>
          <t>НДС не облагается</t>
        </r>
        <r>
          <rPr>
            <sz val="8"/>
            <rFont val="Tahoma"/>
            <family val="2"/>
          </rPr>
          <t xml:space="preserve">
</t>
        </r>
      </text>
    </comment>
    <comment ref="I76" authorId="0">
      <text>
        <r>
          <rPr>
            <b/>
            <sz val="12"/>
            <rFont val="Tahoma"/>
            <family val="2"/>
          </rPr>
          <t xml:space="preserve">НДС не облагается
</t>
        </r>
        <r>
          <rPr>
            <sz val="8"/>
            <rFont val="Tahoma"/>
            <family val="2"/>
          </rPr>
          <t xml:space="preserve">
</t>
        </r>
      </text>
    </comment>
    <comment ref="I77" authorId="0">
      <text>
        <r>
          <rPr>
            <b/>
            <sz val="12"/>
            <rFont val="Tahoma"/>
            <family val="2"/>
          </rPr>
          <t>НДС не облагается</t>
        </r>
        <r>
          <rPr>
            <sz val="8"/>
            <rFont val="Tahoma"/>
            <family val="2"/>
          </rPr>
          <t xml:space="preserve">
</t>
        </r>
      </text>
    </comment>
    <comment ref="I83" authorId="0">
      <text>
        <r>
          <rPr>
            <b/>
            <sz val="12"/>
            <rFont val="Tahoma"/>
            <family val="2"/>
          </rPr>
          <t>НДС не облагается</t>
        </r>
        <r>
          <rPr>
            <sz val="8"/>
            <rFont val="Tahoma"/>
            <family val="2"/>
          </rPr>
          <t xml:space="preserve">
</t>
        </r>
      </text>
    </comment>
    <comment ref="I84" authorId="0">
      <text>
        <r>
          <rPr>
            <b/>
            <sz val="12"/>
            <rFont val="Tahoma"/>
            <family val="2"/>
          </rPr>
          <t>НДС не облагаетс</t>
        </r>
        <r>
          <rPr>
            <b/>
            <sz val="8"/>
            <rFont val="Tahoma"/>
            <family val="2"/>
          </rPr>
          <t>я</t>
        </r>
        <r>
          <rPr>
            <sz val="8"/>
            <rFont val="Tahoma"/>
            <family val="2"/>
          </rPr>
          <t xml:space="preserve">
</t>
        </r>
      </text>
    </comment>
    <comment ref="I85" authorId="0">
      <text>
        <r>
          <rPr>
            <b/>
            <sz val="12"/>
            <rFont val="Tahoma"/>
            <family val="2"/>
          </rPr>
          <t>НДС не облагается</t>
        </r>
        <r>
          <rPr>
            <sz val="8"/>
            <rFont val="Tahoma"/>
            <family val="2"/>
          </rPr>
          <t xml:space="preserve">
</t>
        </r>
      </text>
    </comment>
    <comment ref="I86" authorId="0">
      <text>
        <r>
          <rPr>
            <b/>
            <sz val="12"/>
            <rFont val="Tahoma"/>
            <family val="2"/>
          </rPr>
          <t>НДС не облагается</t>
        </r>
        <r>
          <rPr>
            <sz val="8"/>
            <rFont val="Tahoma"/>
            <family val="2"/>
          </rPr>
          <t xml:space="preserve">
</t>
        </r>
      </text>
    </comment>
    <comment ref="I87" authorId="0">
      <text>
        <r>
          <rPr>
            <b/>
            <sz val="12"/>
            <rFont val="Tahoma"/>
            <family val="2"/>
          </rPr>
          <t>НДС не облагается</t>
        </r>
        <r>
          <rPr>
            <sz val="8"/>
            <rFont val="Tahoma"/>
            <family val="2"/>
          </rPr>
          <t xml:space="preserve">
</t>
        </r>
      </text>
    </comment>
    <comment ref="I88" authorId="0">
      <text>
        <r>
          <rPr>
            <b/>
            <sz val="12"/>
            <rFont val="Tahoma"/>
            <family val="2"/>
          </rPr>
          <t>НДС не облагается</t>
        </r>
        <r>
          <rPr>
            <sz val="8"/>
            <rFont val="Tahoma"/>
            <family val="2"/>
          </rPr>
          <t xml:space="preserve">
</t>
        </r>
      </text>
    </comment>
  </commentList>
</comments>
</file>

<file path=xl/sharedStrings.xml><?xml version="1.0" encoding="utf-8"?>
<sst xmlns="http://schemas.openxmlformats.org/spreadsheetml/2006/main" count="5329" uniqueCount="775">
  <si>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</si>
  <si>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</si>
  <si>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</si>
  <si>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</si>
  <si>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</si>
  <si>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</si>
  <si>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</si>
  <si>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</si>
  <si>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</si>
  <si>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</si>
  <si>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7.3</t>
  </si>
  <si>
    <t>7.4</t>
  </si>
  <si>
    <t>9.1</t>
  </si>
  <si>
    <t>9.2</t>
  </si>
  <si>
    <t>9.3</t>
  </si>
  <si>
    <t>9.4</t>
  </si>
  <si>
    <t>10.1</t>
  </si>
  <si>
    <t>10.2</t>
  </si>
  <si>
    <t>Утвержденные плановые значения показателей приведены в соответствии с  ______________________________________________________________________________</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</si>
  <si>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</si>
  <si>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</si>
  <si>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</si>
  <si>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</si>
  <si>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</si>
  <si>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</si>
  <si>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</si>
  <si>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</si>
  <si>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</si>
  <si>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</si>
  <si>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</si>
  <si>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</si>
  <si>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</si>
  <si>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</si>
  <si>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</si>
  <si>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</si>
  <si>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</si>
  <si>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</si>
  <si>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</si>
  <si>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</si>
  <si>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</si>
  <si>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</si>
  <si>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</si>
  <si>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</si>
  <si>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</si>
  <si>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</si>
  <si>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</si>
  <si>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</si>
  <si>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</si>
  <si>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</si>
  <si>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</si>
  <si>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</si>
  <si>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</si>
  <si>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</si>
  <si>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</si>
  <si>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</si>
  <si>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</si>
  <si>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</si>
  <si>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</si>
  <si>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</si>
  <si>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</si>
  <si>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</si>
  <si>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</si>
  <si>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</si>
  <si>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</si>
  <si>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</si>
  <si>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</si>
  <si>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</si>
  <si>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</si>
  <si>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</si>
  <si>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</si>
  <si>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</si>
  <si>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Показатель уровня надежности оказываемых услуг</t>
  </si>
  <si>
    <t>Показатель качества рассмотрения заявок на технологическое присоединение к сети</t>
  </si>
  <si>
    <t>Показатель уровня качества обслуживания потребителей услуг</t>
  </si>
  <si>
    <t xml:space="preserve">Данные сайта Минэкономразвития </t>
  </si>
  <si>
    <t>Прогноз индексов-дефляторов и инфляции до 2030 г  (в %, к предыдущему году)</t>
  </si>
  <si>
    <t>6.1.1</t>
  </si>
  <si>
    <t>6.1.2</t>
  </si>
  <si>
    <t>6.1.3</t>
  </si>
  <si>
    <t>6.1.4</t>
  </si>
  <si>
    <t>6.1.5</t>
  </si>
  <si>
    <t>6.1.6</t>
  </si>
  <si>
    <t>6.1.7</t>
  </si>
  <si>
    <t>6.2.1</t>
  </si>
  <si>
    <t>6.2.2</t>
  </si>
  <si>
    <t>6.2.3</t>
  </si>
  <si>
    <t>6.2.4</t>
  </si>
  <si>
    <t>6.2.5</t>
  </si>
  <si>
    <t>6.2.6</t>
  </si>
  <si>
    <t>6.2.7</t>
  </si>
  <si>
    <t>от «__» _____ 2016 г. №___</t>
  </si>
  <si>
    <t>Приложение  № 1</t>
  </si>
  <si>
    <t>Приложение  № 2</t>
  </si>
  <si>
    <t>км ЛЭП</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</si>
  <si>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</si>
  <si>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</si>
  <si>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</si>
  <si>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</si>
  <si>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</si>
  <si>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</si>
  <si>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</si>
  <si>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</si>
  <si>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</si>
  <si>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</si>
  <si>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</si>
  <si>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</si>
  <si>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</si>
  <si>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</si>
  <si>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</si>
  <si>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</si>
  <si>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</si>
  <si>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</si>
  <si>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Наименование показателя энергетической эффективности, единицы измерения</t>
  </si>
  <si>
    <t>Идентификатор инвестиционного проекта</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</si>
  <si>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</si>
  <si>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</si>
  <si>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</si>
  <si>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</si>
  <si>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</si>
  <si>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</si>
  <si>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</si>
  <si>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</si>
  <si>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</si>
  <si>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</si>
  <si>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</si>
  <si>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</si>
  <si>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</si>
  <si>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</si>
  <si>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16.1.1</t>
  </si>
  <si>
    <t>16.1.2</t>
  </si>
  <si>
    <t>16.2.1</t>
  </si>
  <si>
    <t>16.2.2</t>
  </si>
  <si>
    <t>Размер платы за технологическое присоединение (подключение), млн рублей</t>
  </si>
  <si>
    <t>4.3.7</t>
  </si>
  <si>
    <t>4.4.7</t>
  </si>
  <si>
    <t>Северо-Кавказский федеральный округ</t>
  </si>
  <si>
    <t>Ставропольский край</t>
  </si>
  <si>
    <t>не относится</t>
  </si>
  <si>
    <t>не требуется</t>
  </si>
  <si>
    <t>+</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</si>
  <si>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</si>
  <si>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Приложение  № 6</t>
  </si>
  <si>
    <t>Приложение  № 5</t>
  </si>
  <si>
    <t>Приложение  № 4</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</si>
  <si>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</si>
  <si>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</si>
  <si>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</si>
  <si>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</si>
  <si>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</si>
  <si>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</si>
  <si>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</si>
  <si>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</si>
  <si>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</si>
  <si>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</si>
  <si>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</si>
  <si>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</si>
  <si>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</si>
  <si>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</si>
  <si>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</si>
  <si>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</si>
  <si>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</si>
  <si>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</si>
  <si>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</si>
  <si>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</si>
  <si>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</si>
  <si>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</si>
  <si>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</si>
  <si>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</si>
  <si>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</si>
  <si>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</si>
  <si>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</si>
  <si>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</si>
  <si>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</si>
  <si>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</si>
  <si>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</si>
  <si>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</si>
  <si>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</si>
  <si>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показатель объема финансовых потребностей, необходимых для реализации мероприятий, направленных на развитие информационной инфраструктуры (Фит)</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</si>
  <si>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(Фхо)</t>
  </si>
  <si>
    <t>Повышение надежности оказываемых услуг в сфере электроэнергетики, млн. руб. без НДС</t>
  </si>
  <si>
    <t>оказатель объема финансовых потребностей, необходимых для реализации мероприятий, направленных на выполнение требований законодательства (Фтз)</t>
  </si>
  <si>
    <t>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 (Фоив)</t>
  </si>
  <si>
    <t xml:space="preserve">показатель оценки изменения объема недоотпущенной электрической энергии  </t>
  </si>
  <si>
    <t xml:space="preserve">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 </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</si>
  <si>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(Фнэ)</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</si>
  <si>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</si>
  <si>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</si>
  <si>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</si>
  <si>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</si>
  <si>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</si>
  <si>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</si>
  <si>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</si>
  <si>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</si>
  <si>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</si>
  <si>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</si>
  <si>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</si>
  <si>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</si>
  <si>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</si>
  <si>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</si>
  <si>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</si>
  <si>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</si>
  <si>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</si>
  <si>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</si>
  <si>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</si>
  <si>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</si>
  <si>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</si>
  <si>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</si>
  <si>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</si>
  <si>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</si>
  <si>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</si>
  <si>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</si>
  <si>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</si>
  <si>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29.1</t>
  </si>
  <si>
    <t>29.2</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</si>
  <si>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</si>
  <si>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</si>
  <si>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8.1.1</t>
  </si>
  <si>
    <t>8.1.2</t>
  </si>
  <si>
    <t>8.1.3</t>
  </si>
  <si>
    <t>8.1.4</t>
  </si>
  <si>
    <t>8.1.5</t>
  </si>
  <si>
    <t>8.1.6</t>
  </si>
  <si>
    <t>8.1.7</t>
  </si>
  <si>
    <t>8.2.1</t>
  </si>
  <si>
    <t>8.2.2</t>
  </si>
  <si>
    <t>8.2.3</t>
  </si>
  <si>
    <t>8.2.4</t>
  </si>
  <si>
    <t>8.2.5</t>
  </si>
  <si>
    <t>8.2.6</t>
  </si>
  <si>
    <t>8.2.7</t>
  </si>
  <si>
    <t>в базисном уровне цен, млн рублей 
(с НДС)</t>
  </si>
  <si>
    <r>
      <rPr>
        <vertAlign val="superscript"/>
        <sz val="12"/>
        <rFont val="Times New Roman"/>
        <family val="1"/>
      </rPr>
      <t>1)</t>
    </r>
    <r>
      <rPr>
        <sz val="12"/>
        <rFont val="Times New Roman"/>
        <family val="1"/>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</si>
  <si>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rPr>
      <t>2)</t>
    </r>
    <r>
      <rPr>
        <sz val="12"/>
        <rFont val="Times New Roman"/>
        <family val="1"/>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</si>
  <si>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rPr>
      <t>3)</t>
    </r>
    <r>
      <rPr>
        <sz val="12"/>
        <rFont val="Times New Roman"/>
        <family val="1"/>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</si>
  <si>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</si>
  <si>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</si>
  <si>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r>
      <rPr>
        <vertAlign val="superscript"/>
        <sz val="12"/>
        <rFont val="Times New Roman"/>
        <family val="1"/>
      </rPr>
      <t>4)</t>
    </r>
    <r>
      <rPr>
        <sz val="12"/>
        <rFont val="Times New Roman"/>
        <family val="1"/>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</si>
  <si>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</si>
  <si>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</si>
  <si>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</si>
  <si>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</si>
  <si>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</si>
  <si>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</si>
  <si>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2"/>
        <rFont val="Times New Roman"/>
        <family val="1"/>
      </rPr>
      <t>в базисном уровне цен, млн рублей (без НДС)</t>
    </r>
  </si>
  <si>
    <t>Освоение капитальных вложений в прогнозных ценах соответствующих лет, млн рублей  (без НДС)</t>
  </si>
  <si>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</si>
  <si>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 xml:space="preserve">Наименование документа - источника данных </t>
  </si>
  <si>
    <t>Обеспечения качества электроснабжения населения</t>
  </si>
  <si>
    <t>Строительство повышает качество электроснабжения потребителей, улучшаются условия для нормальной и безопасной ее эксплуатации. Появляется возможность эффективного и качественного обслуживания. Существенно сокращаются затраты на техническое.</t>
  </si>
  <si>
    <t>-</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</si>
  <si>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</si>
  <si>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</si>
  <si>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</si>
  <si>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</si>
  <si>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</si>
  <si>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</si>
  <si>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</si>
  <si>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</si>
  <si>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</si>
  <si>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Годы</t>
  </si>
  <si>
    <t>Реконструкция, модернизация, техническое перевооружение всего, в том числе:</t>
  </si>
  <si>
    <t>Г</t>
  </si>
  <si>
    <t>Реконструкция трансформаторных и иных подстанций, всего, в том числе:</t>
  </si>
  <si>
    <t>Реконструкция, модернизация, техническое перевооружение линий электропередачи, всего, в том числе:</t>
  </si>
  <si>
    <t>1.4</t>
  </si>
  <si>
    <t>Прочие инвестиционные проекты, всего, в том числе:</t>
  </si>
  <si>
    <t>1.3</t>
  </si>
  <si>
    <t>Оборудование, не требующее монтажа</t>
  </si>
  <si>
    <t>П</t>
  </si>
  <si>
    <t xml:space="preserve">Фактический объем освоения капитальных вложений на 01.01.2017 год 
, млн рублей 
(без НДС) </t>
  </si>
  <si>
    <t>План 
на 01.01.2017</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</si>
  <si>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</si>
  <si>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</si>
  <si>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</si>
  <si>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</si>
  <si>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</si>
  <si>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</si>
  <si>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</si>
  <si>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</si>
  <si>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</si>
  <si>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</si>
  <si>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</si>
  <si>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indexed="8"/>
        <rFont val="Times New Roman"/>
        <family val="1"/>
      </rPr>
      <t>2)</t>
    </r>
  </si>
  <si>
    <r>
      <t>шт.</t>
    </r>
    <r>
      <rPr>
        <vertAlign val="superscript"/>
        <sz val="12"/>
        <color indexed="8"/>
        <rFont val="Times New Roman"/>
        <family val="1"/>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</si>
  <si>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</si>
  <si>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</si>
  <si>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</si>
  <si>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</si>
  <si>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</si>
  <si>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</si>
  <si>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</si>
  <si>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</si>
  <si>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</si>
  <si>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</si>
  <si>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</si>
  <si>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</si>
  <si>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</si>
  <si>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</si>
  <si>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</si>
  <si>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</si>
  <si>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</si>
  <si>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</si>
  <si>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</si>
  <si>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</si>
  <si>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</si>
  <si>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indexed="8"/>
        <rFont val="Times New Roman"/>
        <family val="1"/>
      </rPr>
      <t xml:space="preserve">2) </t>
    </r>
    <r>
      <rPr>
        <sz val="11"/>
        <color indexed="8"/>
        <rFont val="Times New Roman"/>
        <family val="1"/>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</si>
  <si>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</si>
  <si>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</si>
  <si>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</si>
  <si>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</si>
  <si>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</si>
  <si>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</si>
  <si>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</si>
  <si>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</si>
  <si>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</si>
  <si>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</si>
  <si>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</si>
  <si>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</si>
  <si>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</si>
  <si>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</si>
  <si>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</si>
  <si>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</si>
  <si>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</si>
  <si>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</si>
  <si>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</si>
  <si>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</si>
  <si>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</si>
  <si>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</si>
  <si>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</si>
  <si>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</si>
  <si>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</si>
  <si>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</si>
  <si>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</si>
  <si>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</si>
  <si>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</si>
  <si>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</si>
  <si>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</si>
  <si>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</si>
  <si>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</si>
  <si>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</si>
  <si>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</si>
  <si>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</si>
  <si>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</si>
  <si>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</si>
  <si>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</si>
  <si>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</si>
  <si>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</si>
  <si>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</si>
  <si>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</si>
  <si>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</si>
  <si>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</si>
  <si>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</si>
  <si>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</si>
  <si>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</si>
  <si>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</si>
  <si>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</si>
  <si>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</si>
  <si>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</si>
  <si>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</si>
  <si>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</si>
  <si>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</si>
  <si>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</si>
  <si>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</si>
  <si>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</si>
  <si>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</si>
  <si>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</si>
  <si>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</si>
  <si>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</si>
  <si>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</si>
  <si>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</si>
  <si>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</si>
  <si>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indexed="8"/>
        <rFont val="Times New Roman"/>
        <family val="1"/>
      </rPr>
      <t>3+ст.4+ст.5)/3</t>
    </r>
  </si>
  <si>
    <r>
      <t>нд</t>
    </r>
    <r>
      <rPr>
        <vertAlign val="superscript"/>
        <sz val="12"/>
        <color indexed="8"/>
        <rFont val="Times New Roman"/>
        <family val="1"/>
      </rPr>
      <t>3)</t>
    </r>
  </si>
  <si>
    <r>
      <rPr>
        <vertAlign val="superscript"/>
        <sz val="11"/>
        <color indexed="8"/>
        <rFont val="Times New Roman"/>
        <family val="1"/>
      </rPr>
      <t>6)</t>
    </r>
    <r>
      <rPr>
        <sz val="11"/>
        <color indexed="8"/>
        <rFont val="Times New Roman"/>
        <family val="1"/>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</si>
  <si>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</si>
  <si>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</si>
  <si>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</si>
  <si>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t>
    </r>
    <r>
      <rPr>
        <vertAlign val="superscript"/>
        <sz val="12"/>
        <color indexed="8"/>
        <rFont val="Times New Roman"/>
        <family val="1"/>
      </rPr>
      <t>4)</t>
    </r>
  </si>
  <si>
    <r>
      <rPr>
        <vertAlign val="superscript"/>
        <sz val="11"/>
        <color indexed="8"/>
        <rFont val="Times New Roman"/>
        <family val="1"/>
      </rP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</si>
  <si>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indexed="8"/>
        <rFont val="Times New Roman"/>
        <family val="1"/>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</si>
  <si>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</si>
  <si>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</si>
  <si>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</si>
  <si>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</si>
  <si>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</si>
  <si>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</si>
  <si>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</si>
  <si>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</si>
  <si>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indexed="8"/>
        <rFont val="Times New Roman"/>
        <family val="1"/>
      </rPr>
      <t>5)</t>
    </r>
  </si>
  <si>
    <r>
      <rPr>
        <vertAlign val="superscript"/>
        <sz val="11"/>
        <color indexed="8"/>
        <rFont val="Times New Roman"/>
        <family val="1"/>
      </rP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</si>
  <si>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indexed="8"/>
        <rFont val="Times New Roman"/>
        <family val="1"/>
      </rP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</si>
  <si>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</si>
  <si>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</si>
  <si>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</si>
  <si>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</si>
  <si>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</si>
  <si>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</si>
  <si>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</si>
  <si>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</si>
  <si>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</si>
  <si>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</si>
  <si>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</si>
  <si>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</si>
  <si>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</si>
  <si>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</si>
  <si>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</si>
  <si>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indexed="8"/>
        <rFont val="Times New Roman"/>
        <family val="1"/>
      </rPr>
      <t xml:space="preserve">1) </t>
    </r>
    <r>
      <rPr>
        <sz val="11"/>
        <color indexed="8"/>
        <rFont val="Times New Roman"/>
        <family val="1"/>
      </rPr>
      <t>шт. договоров об осуществлении технологического присоединения к электрическим сетям</t>
    </r>
  </si>
  <si>
    <r>
      <rPr>
        <vertAlign val="superscript"/>
        <sz val="11"/>
        <color indexed="8"/>
        <rFont val="Times New Roman"/>
        <family val="1"/>
      </rPr>
      <t xml:space="preserve">3) </t>
    </r>
    <r>
      <rPr>
        <sz val="11"/>
        <color indexed="8"/>
        <rFont val="Times New Roman"/>
        <family val="1"/>
      </rPr>
      <t>Ячейки, в которых указано слово "нд", заполнению не подлежат</t>
    </r>
  </si>
  <si>
    <r>
      <rPr>
        <vertAlign val="superscript"/>
        <sz val="11"/>
        <color indexed="8"/>
        <rFont val="Times New Roman"/>
        <family val="1"/>
      </rPr>
      <t xml:space="preserve">1) </t>
    </r>
    <r>
      <rPr>
        <sz val="11"/>
        <color indexed="8"/>
        <rFont val="Times New Roman"/>
        <family val="1"/>
      </rPr>
      <t>Определяется как (столбец (ст.)3+ст.4+ст.5)/3</t>
    </r>
  </si>
  <si>
    <r>
      <rPr>
        <vertAlign val="superscript"/>
        <sz val="11"/>
        <color indexed="8"/>
        <rFont val="Times New Roman"/>
        <family val="1"/>
      </rPr>
      <t xml:space="preserve">2) </t>
    </r>
    <r>
      <rPr>
        <sz val="11"/>
        <color indexed="8"/>
        <rFont val="Times New Roman"/>
        <family val="1"/>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</si>
  <si>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</si>
  <si>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2016 году 
(схемой теплоснабжения поселения (городского округа), утвержденной органом местного самоуправления), год</t>
  </si>
  <si>
    <t>Сводный сметный расчет</t>
  </si>
  <si>
    <r>
      <rPr>
        <vertAlign val="superscript"/>
        <sz val="11"/>
        <color indexed="8"/>
        <rFont val="Times New Roman"/>
        <family val="1"/>
      </rPr>
      <t xml:space="preserve">4) </t>
    </r>
    <r>
      <rPr>
        <sz val="11"/>
        <color indexed="8"/>
        <rFont val="Times New Roman"/>
        <family val="1"/>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</si>
  <si>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rPr>
      <t xml:space="preserve">5) </t>
    </r>
    <r>
      <rPr>
        <sz val="11"/>
        <color indexed="8"/>
        <rFont val="Times New Roman"/>
        <family val="1"/>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</si>
  <si>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</si>
  <si>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</si>
  <si>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</si>
  <si>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</si>
  <si>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</si>
  <si>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</si>
  <si>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</si>
  <si>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</si>
  <si>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</si>
  <si>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</si>
  <si>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</si>
  <si>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</si>
  <si>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</si>
  <si>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</si>
  <si>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</si>
  <si>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</si>
  <si>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</si>
  <si>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</si>
  <si>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</si>
  <si>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</si>
  <si>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</si>
  <si>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</si>
  <si>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</si>
  <si>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</si>
  <si>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</si>
  <si>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</si>
  <si>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</si>
  <si>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</si>
  <si>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</si>
  <si>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</si>
  <si>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</si>
  <si>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</si>
  <si>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</si>
  <si>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</si>
  <si>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</si>
  <si>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</si>
  <si>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</si>
  <si>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</si>
  <si>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</si>
  <si>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</si>
  <si>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</si>
  <si>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</si>
  <si>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</si>
  <si>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</si>
  <si>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</si>
  <si>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</si>
  <si>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</si>
  <si>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</si>
  <si>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</si>
  <si>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</si>
  <si>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</si>
  <si>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</si>
  <si>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</si>
  <si>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</si>
  <si>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</si>
  <si>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</si>
  <si>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</si>
  <si>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t>
  </si>
  <si>
    <t xml:space="preserve">показатель увеличения мощности силовых (авто-) трансформаторов на подстанциях, не связанного с осуществлением технологического присоединения к электрическим сетям </t>
  </si>
  <si>
    <t>показатель замены линий электропередачи</t>
  </si>
  <si>
    <t>ВСЕГО по инвестиционной программе, в том числе:</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</si>
  <si>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</si>
  <si>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</si>
  <si>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</si>
  <si>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</si>
  <si>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</si>
  <si>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</si>
  <si>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</si>
  <si>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</si>
  <si>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</si>
  <si>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</si>
  <si>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</si>
  <si>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</si>
  <si>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</si>
  <si>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</si>
  <si>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</si>
  <si>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</si>
  <si>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</si>
  <si>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</si>
  <si>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</si>
  <si>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</si>
  <si>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</si>
  <si>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</si>
  <si>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 xml:space="preserve"> </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</si>
  <si>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</si>
  <si>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</si>
  <si>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</si>
  <si>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</si>
  <si>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</si>
  <si>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</si>
  <si>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</si>
  <si>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</si>
  <si>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</si>
  <si>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</si>
  <si>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</si>
  <si>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</si>
  <si>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</si>
  <si>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</si>
  <si>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</si>
  <si>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</si>
  <si>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</si>
  <si>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</si>
  <si>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</si>
  <si>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</si>
  <si>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</si>
  <si>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</si>
  <si>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</si>
  <si>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</si>
  <si>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</si>
  <si>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</si>
  <si>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</si>
  <si>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</si>
  <si>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</si>
  <si>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</si>
  <si>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</si>
  <si>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</si>
  <si>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</si>
  <si>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</si>
  <si>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</si>
  <si>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</si>
  <si>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</si>
  <si>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</si>
  <si>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</si>
  <si>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</si>
  <si>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</si>
  <si>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</si>
  <si>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</si>
  <si>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</si>
  <si>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</si>
  <si>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</si>
  <si>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</si>
  <si>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</si>
  <si>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5.3</t>
  </si>
  <si>
    <t>7</t>
  </si>
  <si>
    <t>7.1</t>
  </si>
  <si>
    <t>7.2</t>
  </si>
  <si>
    <t>8</t>
  </si>
  <si>
    <t>8.1</t>
  </si>
  <si>
    <t>8.2</t>
  </si>
  <si>
    <t>9</t>
  </si>
  <si>
    <t>10</t>
  </si>
  <si>
    <t>11</t>
  </si>
  <si>
    <t>8.3</t>
  </si>
  <si>
    <t>8.4</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</si>
  <si>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</si>
  <si>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</si>
  <si>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</si>
  <si>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</si>
  <si>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</si>
  <si>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</si>
  <si>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</si>
  <si>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</si>
  <si>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</si>
  <si>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</si>
  <si>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</si>
  <si>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</si>
  <si>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</si>
  <si>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G_Gelezno_001</t>
  </si>
  <si>
    <t>G_Gelezno_002</t>
  </si>
  <si>
    <t>G_Gelezno_003</t>
  </si>
  <si>
    <t>G_Gelezno_004</t>
  </si>
  <si>
    <t>G_Gelezno_005</t>
  </si>
  <si>
    <t>G_Gelezno_006</t>
  </si>
  <si>
    <t>G_Gelezno_007</t>
  </si>
  <si>
    <t>G_Gelezno_008</t>
  </si>
  <si>
    <t>G_Gelezno_009</t>
  </si>
  <si>
    <t>G_Gelezno_010</t>
  </si>
  <si>
    <t>G_Gelezno_011</t>
  </si>
  <si>
    <t>G_Gelezno_012</t>
  </si>
  <si>
    <t>G_Gelezno_013</t>
  </si>
  <si>
    <t>Инвестиционная программа Филиала "Железноводские электрические сети" ООО "КЭУК".</t>
  </si>
  <si>
    <t>Инвестиционная программа_Филиала "Железноводские электрические сети" ООО "КЭУК".</t>
  </si>
  <si>
    <t>г. Железноводск</t>
  </si>
  <si>
    <t>Филиал "Железноводские горэлектросети" ООО "КЭУК"</t>
  </si>
  <si>
    <t>от 05 мая 2016 г. № 380</t>
  </si>
  <si>
    <t>А.Г. Дзиов</t>
  </si>
  <si>
    <t xml:space="preserve">Утверждаю:   </t>
  </si>
  <si>
    <t>Исполнительный директор ООО«КЭУК»</t>
  </si>
  <si>
    <t>М.П.</t>
  </si>
  <si>
    <t>Главный инженер филиала «Железноводские электрические сети» ООО «КЭУК»                                                                                                         Ю.В. Казаков</t>
  </si>
  <si>
    <t>Главный инженер филиала «Железноводские электрические сети» ООО «КЭУК»                                                                                                                                            Ю.В. Казаков</t>
  </si>
  <si>
    <t>Реализация проекта позволит привести ВЛ в состояние соответствующее требованиям нормативных документов, повысить уровень электробезопасности, снизить потери электроэнергии.</t>
  </si>
  <si>
    <t>__________________ А.Г. Дзиов</t>
  </si>
  <si>
    <t>Предложение по корректировке утвержденного плана на 01.01.2017</t>
  </si>
  <si>
    <t>Финансирование капитальных вложений 
год 2017 в прогнозных ценах, млн рублей (с НДС)</t>
  </si>
  <si>
    <t>год 2017</t>
  </si>
  <si>
    <t>Освоение капитальных вложений год 2017 в прогнозных ценах соответствующих лет, млн рублей (без НДС)</t>
  </si>
  <si>
    <t>Предложение по корректировке утвержденного плана 
на 01.01.2017</t>
  </si>
  <si>
    <t>План на 01.01.2017</t>
  </si>
  <si>
    <t>Номер группы инвестиционных проектов</t>
  </si>
  <si>
    <t>Главный инженер филиала «Железноводские электрические сети» ООО «КЭУК»                                                                                                                                                              Ю.В. Казаков</t>
  </si>
  <si>
    <t>Принятие основных средств и нематериальных активов к бухгалтерскому учету в год 2017</t>
  </si>
  <si>
    <t>Год 2017</t>
  </si>
  <si>
    <t>Идентифика-тор инвестиционного проекта</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</si>
  <si>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2017</t>
  </si>
  <si>
    <t>Ввод объектов инвестиционной деятельности (мощностей) в эксплуатацию в год 2017</t>
  </si>
  <si>
    <t>Приложение  № 7</t>
  </si>
  <si>
    <t>Главный инженер филиала «Железноводские электрические сети» ООО «КЭУК»                                                                                                                      Ю.В. Казаков</t>
  </si>
  <si>
    <t xml:space="preserve"> за 2017 год</t>
  </si>
  <si>
    <t>Новое строительство, всего, в том числе:</t>
  </si>
  <si>
    <t>Прочее новое строительство объектов электросетевого хозяйства</t>
  </si>
  <si>
    <t>1.4.1</t>
  </si>
  <si>
    <t>1.4.1.1</t>
  </si>
  <si>
    <t>Прочее новое строительство, в счёт тех.присоединений</t>
  </si>
  <si>
    <t>1.4.2</t>
  </si>
  <si>
    <t>1.4.2.1</t>
  </si>
  <si>
    <t>1.4.2.2</t>
  </si>
  <si>
    <t>1.4.2.3</t>
  </si>
  <si>
    <t>Факт</t>
  </si>
  <si>
    <t>Фактический объем финансирования на 01.01.2017 года, млн рублей (с НДС)</t>
  </si>
  <si>
    <t>План 
на 01.01.2017 год</t>
  </si>
  <si>
    <t>Итого за период реализации инвестиционной программы
(факт)</t>
  </si>
  <si>
    <t xml:space="preserve">План
</t>
  </si>
  <si>
    <t xml:space="preserve">Факт 
</t>
  </si>
  <si>
    <t>План принятия основных средств и нематериальных активов к бухгалтерскому учету на год</t>
  </si>
  <si>
    <t>Итого план
на год</t>
  </si>
  <si>
    <t>Реконструкция ВЛ-0,4 кВ ул.Шоссейная, п.Иноземцево, (и/н 0000467), СИП-2 3х50+1х54,6 - 0,418 км, СИП-2 3х35+1х54,6 - 0,366 км и СИП-4 2х16 - 0,575 км</t>
  </si>
  <si>
    <t>Реконструкция ВЛ-0,4 кВ ул.Р.Люксембург, г.Железноводск, (и/н 0000305), СИП-2 3х35+1х54,6 - 0,367 км и СИП-4 2х16 - 0,45 км</t>
  </si>
  <si>
    <t>Реконструкция ВЛ-0,4 кВ ул.Свободы, п.Иноземцево, (и/н 0000450 и 0000451), СИП-2 3х35+1х54,6 - 2,35 км и СИП-4 2х16 - 2,97 км</t>
  </si>
  <si>
    <t>Реконструкция ВЛ-0,4 кВ ул.Свободы до озера (от ул.Шоссей-ной), п.Иноземцево, (и/н 0000453), СИП-2 3х35+1х54,6 - 2,26 км и СИП-4 2х16 - 2,17 км</t>
  </si>
  <si>
    <t>Реконструкция ВЛ-0,4 кВ ул.60 лет Октября, п.Иноземцево, (и/н 0000329 и 0000330), СИП-2 3х35+1х54,6 - 0,836 км и СИП-4 2х16 - 2,2 км</t>
  </si>
  <si>
    <t>Реконструкция ВЛ-0,4 кВ ул.К.Цеткин и/н 0000376  и  ул.Пушкина и/н 0000440 п.Иноземцево, СИП-2 3х35+1х54,6 - 2,02 км и СИП-4 2х16 - 1,42 км</t>
  </si>
  <si>
    <t>Реконструкция ВЛ-0,4 кВ ул.Бахановича, г.Железноводск, (и/н 0000285), СИП-2 3х35+1х54,6 - 0,502км и СИП-4 2х16 - 0,784 км</t>
  </si>
  <si>
    <t>Реконструкция ВЛ-0,4 кВ ул.Ивановская, г. Железноводск, (и/н 0000370 и 0000371 ), СИП-2 3х35+1х54,6 - 1,12 км и СИП-4 2х16 - 0,4 км</t>
  </si>
  <si>
    <t>Реконструкция ВЛ-0,4 кВ ул.Бахановича от ул.Чапаева, г.Желез-новодск, (и/н 0000283), СИП-2 3х35+1х54,6 - 0,836 км и СИП-4 2х16 - 1,306 км</t>
  </si>
  <si>
    <t>Реконструкция в ТП-187  (и/н 0001379) (камера сборная серии КСО-393-13-400 - 1 шт. и камера сборная серии КСО-393-01 - 1шт.)</t>
  </si>
  <si>
    <t>Внутренний контур системы коммерческого учёта АСКУЭ   в   ТП-40; 15; 185; 28; 9  и  РП-3; 4; 5; 6.</t>
  </si>
  <si>
    <t>Строительство КЛ-10 кВ, Ф-187(С-2) от ПС"Машук" до ТП-187, п.Иноземцево , L=2,244 км (ААБлУ 3х240)</t>
  </si>
  <si>
    <t>Строительство ВЛ-0,4 кВ от РУ-0,4 кВ ТП-185 до ВРУ офисного здания ул.Пушкина,2А, п.Иноземцево, L=0,235 км (СИП-2 3х50+1х54)</t>
  </si>
  <si>
    <t>1.4.2.4</t>
  </si>
  <si>
    <t>1.4.2.5</t>
  </si>
  <si>
    <t>1.4.2.6</t>
  </si>
  <si>
    <t>1.4.2.7</t>
  </si>
  <si>
    <t>1.4.2.8</t>
  </si>
  <si>
    <t>1.4.2.9</t>
  </si>
  <si>
    <t>1.4.2.10</t>
  </si>
  <si>
    <t>1.4.2.11</t>
  </si>
  <si>
    <t>1.4.2.12</t>
  </si>
  <si>
    <t>1.4.2.13</t>
  </si>
  <si>
    <t>1.4.2.14</t>
  </si>
  <si>
    <t>1.4.2.15</t>
  </si>
  <si>
    <t>1.4.2.16</t>
  </si>
  <si>
    <t>1.4.2.17</t>
  </si>
  <si>
    <t>1.4.2.18</t>
  </si>
  <si>
    <t>1.4.2.19</t>
  </si>
  <si>
    <t>1.4.2.20</t>
  </si>
  <si>
    <t>1.4.2.21</t>
  </si>
  <si>
    <t>1.4.2.22</t>
  </si>
  <si>
    <t>1.4.2.23</t>
  </si>
  <si>
    <t>1.4.2.24</t>
  </si>
  <si>
    <t>1.4.2.25</t>
  </si>
  <si>
    <t>1.4.2.26</t>
  </si>
  <si>
    <t>1.4.2.27</t>
  </si>
  <si>
    <t>1.4.2.28</t>
  </si>
  <si>
    <t>1.4.2.29</t>
  </si>
  <si>
    <t>1.4.2.30</t>
  </si>
  <si>
    <t>1.4.2.31</t>
  </si>
  <si>
    <t>1.4.2.32</t>
  </si>
  <si>
    <t>1.4.2.33</t>
  </si>
  <si>
    <t>1.4.2.34</t>
  </si>
  <si>
    <t>1.4.2.35</t>
  </si>
  <si>
    <t>1.4.2.36</t>
  </si>
  <si>
    <t>1.4.2.37</t>
  </si>
  <si>
    <t>Строительство КЛ-0,4 кВ от РУ-0,4 кВ ТП-18 (С1) до ВРУ МКЖД ул.Косякина (район дома № 49), г.Железноводск, (Линия 1), L=0,143 км (ААБл 4х120)</t>
  </si>
  <si>
    <t>Строительство КЛ-0,4 кВ от РУ-0,4 кВ ТП-18 (С2) до ВРУ МКЖД ул.Косякина (район дома № 49), г.Железноводск, (Линия 2), L=0,143 км (ААБл 4х120)</t>
  </si>
  <si>
    <t>Строительство КТП-247 в районе озера "Карас", п.Иноземцево (250 кВА)</t>
  </si>
  <si>
    <t>Строительство ВЛ-0,4 кВ от РУ-0,4 кВ ТП-15 до ВРУ Железно-водского НКЦ  для лиц страдающих сахарным диабетом ул. Ленина,67, г.Железноводск, L=0,11 км (СИП-2 3х50+1х54,6)</t>
  </si>
  <si>
    <t>Строительство КЛ-10 кВ от РУ-10 кВ КТП-224 до КТП-247, п.Иноземцево, L=0,918 км (АСБ 3х120)</t>
  </si>
  <si>
    <t>Строительство КЛ-0,4 кВ от РУ-0,4 кВ ТП-50 (С-1) до ВРУ МКЖД по ул.Ленина,49(линия 1), г.Железноводск, L=0,061 км (АВБбШв 4х240)</t>
  </si>
  <si>
    <t>Строительство КЛ-0,4 кВ от РУ-0,4 кВ ТП-50(С-2) до ВРУ МКЖД по ул.Ленина,49(линия 2), г.Железноводск, L=0,061 км (АВБбШв 4х240)</t>
  </si>
  <si>
    <t>Строительство КТП-105 ул.Октябрьская, 96 Б, п.Иноземцево (250 кВА)</t>
  </si>
  <si>
    <t>Строительство КЛ-0,4 кВ от РП-2 (С-1) до ВРУ тренировочной площадки стадииона "Спартак" ул.Калинина,3 (линия 1), г.Железноводск, L= 0,245 км (АВБбШв 4х240)</t>
  </si>
  <si>
    <t>Строительство КЛ-0,4 кВ от РП-2 (С-2) до ВРУ тренировочной площадки стадиона "Спартак" ул.Калинина,3 (линия 2), г.Железноводск, L= 0,245 км (АВБбШв 4х240)</t>
  </si>
  <si>
    <t>Строительство КТП-248 ул.Тихая,8, п.Иноземцево (ТМГ-250 кВА)</t>
  </si>
  <si>
    <t>Строительство ВЛ-0,4 кВ от КТП-233 до ВРУ магазина ул.Вокзальная, 46А, п.Иноземцево, L= 0,408 км (СИП-2 3х50+1х54,6)</t>
  </si>
  <si>
    <t>Строительство ВЛ-0,4 кВ от РУ-0,4кВ ТП-75 (С-1) по ул.Ленина район дома 123, г.Железноводск, L= 0,143 км (СИП-2 3х50+1х54,6)</t>
  </si>
  <si>
    <t>Строительство ВЛ-0,4кВ от РУ-0,4 кВ ТП-75 (С-2) по ул.Ленина район дома 123, г.Железноводск, L= 0,143 км (СИП-2 3х50+1х54,6)</t>
  </si>
  <si>
    <t>Строительство КЛ-0,4 кВ от ВРУ-1 до ВРУ-2 в ЖК "Вишнёвый сад" (2-ая очередь), п.Иноземцево, L= 0,04 км (АВБбШв 4х120)</t>
  </si>
  <si>
    <t>Строительство КЛ-0,4кВ от ВРУ-11 до ВРУ-12 в ЖК"Вишнёвый сад" (2-ая очередь), п.Иноземцево, L= 0,035 км (АВБбШв 4х95)</t>
  </si>
  <si>
    <t>Строительство КЛ-0,4кВ от ВРУ-13 до ВРУ-14 в ЖК"Вишнёвый сад" (2-ая очередь), п.Иноземцево, L= 0,035 км (АВБбШв 4х95)</t>
  </si>
  <si>
    <t>Строительство КЛ-0,4 кВ от ВРУ-9 до ВРУ-10 в ЖК "Вишнёвый сад" (2-ая очередь), п.Иноземцево, L= 0,035 км (АВБбШв 4х95)</t>
  </si>
  <si>
    <t>Строительство КЛ-0,4 кВ от РУ-0,4 кВ 2КТП-244 до ВРУ-10 в ЖК "Вишнёвый сад" (2-ая очередь), п.Иноземцево, L= 0,19 км (АВБбШв 4х120)</t>
  </si>
  <si>
    <t>Строительство КЛ-0,4 кВ от РУ-0,4 кВ 2КТП-244 до ВРУ-11 в ЖК "Вишнёвый сад" (2-ая очередь), п.Иноземцево, L= 0,14 км (АВБбШв 4х95)</t>
  </si>
  <si>
    <t>Строительство КЛ-0,4 кВ от РУ-0,4 кВ 2КТП-244 до ВРУ-13 в ЖК "Вишнёвый сад" (2-ая очередь), п.Иноземцево, L= 0,06 км (АВБбШв 4х120)</t>
  </si>
  <si>
    <t>Строительство КЛ-0,4 кВ от РУ-0,4 кВ 2КТП-244 до ВРУ-14 в ЖК "Вишнёвый сад" (2-ая очередь), п.Иноземцево, L= 0,1 км (АВБбШв 4х120)</t>
  </si>
  <si>
    <t>Строительство КЛ-0,4 кВ от РУ-0,4 кВ 2КТП-244 до ВРУ-16 в ЖК "Вишнёвый сад" (2-ая очередь), п.Иноземцево, L= 0,11 км (АВБбШв 4х95)</t>
  </si>
  <si>
    <t>Строительство КЛ-0,4 кВ от РУ-0,4 кВ 2КТП-244 до ВРУ-9 в ЖК "Вишнёвый сад" (2-ая очередь), п.Иноземцево, L= 0,215 км (АВБбШв 4х120)</t>
  </si>
  <si>
    <t>Строительство КЛ-0,4 кВ от ВРУ-1 МКЖД до ВРУ-2 МКЖД ул.Тихая,8, п.Иноземцево, L= 0,071 км (АВВГ 4х35)</t>
  </si>
  <si>
    <t>Строительство КЛ-0,4 кВ от ВРУ-2 МКЖД до ВРУ-3 МКЖД ул.Тихая,8, п.Иноземцево, L= 0,025 км (АВВГ 4х35)</t>
  </si>
  <si>
    <t>Строительство КЛ-0,4 кВ от ВРУ-3 МКЖД до РУ-0,4 кВ КТП-248 ул.Тихая,8, п.Иноземцево, L= 0,107 км (АВВГ 4х35)</t>
  </si>
  <si>
    <t>Строительство КЛ-0,4 кВ от РУ-0,4 кВ КТП-248 до ВРУ-1 МКЖД ул.Тихая,8, п.Иноземцево, L= 0,102 км (АВВГ 4х35)</t>
  </si>
  <si>
    <t>Строительство КЛ-0,4 кВ от РУ-0,4 кВ КТП-105 до РЩ МКЖД ул.Октябрьская,96 Б, г.Железноводск, L= 0,186 км (АВБбШВ 4х95)</t>
  </si>
  <si>
    <t>Строительство КЛ-0,4 кВ от ВРУ-12 до ВРУ-2 в ЖК "Вишнёвый сад" (2-ая очередь), п.Иноземцево, L= 0,1 км (АВБбШВ 4х150)</t>
  </si>
  <si>
    <t>Строительство КЛ-0,4кВ от ВРУ-16 до ВРУ-10 в ЖК"Вишнёвый сад" (2-ая очередь), п.Иноземцево, L= 0,035 км (АВБбШВ 4х95)</t>
  </si>
  <si>
    <t>Строительство КЛ-0,4 кВ от опоры ВЛ-0,4 кВ № 21 до ВРУ-1 в ЖК "Вишнёвый сад" (2-ая очередь), п.Иноземцево, L= 0,05 км (АВБбШВ 4х120)</t>
  </si>
  <si>
    <t>Строительство КЛ-0,4 кВ от РУ-0,4 кВ 2КТП-244 до ВРУ-12 в ЖК "Вишнёвый сад" (2-ая очередь), п.Иноземцево, L= 0,17 км (АВБбШВ 4х185) км</t>
  </si>
  <si>
    <t>Строительство КЛ-0,4 кВ от РУ-0,4 кВ 2КТП-244 до ВРУ-15 в ЖК "Вишнёвый сад" (2-ая очередь), п.Иноземцево, L= 0,08 км (АВБбШВ 4х95)</t>
  </si>
  <si>
    <t>Строительство ВЛ-0,4 кВ от РУ-0,4 кВ КТП-241 ЖК "Вишнёвый сад" (2-ая очередь), п.Иноземцево, СИП-2 3х150+1х95 - 0,204 км СИП-2 3х120+1х95 - 0,275 км и СИП-2 3х95+1х70 - 0,408 км</t>
  </si>
  <si>
    <t>Строительство КТП-249 пер.Промышленный,24, п.Иноземцево (ТМГ-630 кВА)(Линия 2), L=0,143 км</t>
  </si>
  <si>
    <t>1.1.7</t>
  </si>
  <si>
    <t>1.1.8</t>
  </si>
  <si>
    <t>1.1.9</t>
  </si>
  <si>
    <t>1.3.1</t>
  </si>
  <si>
    <t>1.3.2</t>
  </si>
  <si>
    <t>"_______"__________</t>
  </si>
  <si>
    <t>2018 г.</t>
  </si>
  <si>
    <t>Год раскрытия информации: 2018 год</t>
  </si>
  <si>
    <t>"_____"_____________2018 г.</t>
  </si>
  <si>
    <t>______________________ А.Г. Дзиов</t>
  </si>
  <si>
    <t>"______"_____________ 2018 г.</t>
  </si>
  <si>
    <t>"_______"_____________ 2018 г.</t>
  </si>
  <si>
    <t>____________________ А.Г. Дзиов</t>
  </si>
  <si>
    <t>G_Gelezno_ТР1</t>
  </si>
  <si>
    <t>G_Gelezno_ТР2</t>
  </si>
  <si>
    <t>G_Gelezno_ТР3</t>
  </si>
  <si>
    <t>G_Gelezno_ТР4</t>
  </si>
  <si>
    <t>G_Gelezno_ТР5</t>
  </si>
  <si>
    <t>G_Gelezno_ТР6</t>
  </si>
  <si>
    <t>G_Gelezno_ТР7</t>
  </si>
  <si>
    <t>G_Gelezno_ТР8</t>
  </si>
  <si>
    <t>G_Gelezno_ТР9</t>
  </si>
  <si>
    <t>G_Gelezno_ТР10</t>
  </si>
  <si>
    <t>G_Gelezno_ТР11</t>
  </si>
  <si>
    <t>G_Gelezno_ТР12</t>
  </si>
  <si>
    <t>G_Gelezno_ТР13</t>
  </si>
  <si>
    <t>G_Gelezno_ТР14</t>
  </si>
  <si>
    <t>G_Gelezno_ТР15</t>
  </si>
  <si>
    <t>G_Gelezno_ТР16</t>
  </si>
  <si>
    <t>G_Gelezno_ТР17</t>
  </si>
  <si>
    <t>G_Gelezno_ТР18</t>
  </si>
  <si>
    <t>G_Gelezno_ТР19</t>
  </si>
  <si>
    <t>G_Gelezno_ТР20</t>
  </si>
  <si>
    <t>G_Gelezno_ТР21</t>
  </si>
  <si>
    <t>G_Gelezno_ТР22</t>
  </si>
  <si>
    <t>G_Gelezno_ТР23</t>
  </si>
  <si>
    <t>G_Gelezno_ТР24</t>
  </si>
  <si>
    <t>G_Gelezno_ТР25</t>
  </si>
  <si>
    <t>G_Gelezno_ТР26</t>
  </si>
  <si>
    <t>G_Gelezno_ТР27</t>
  </si>
  <si>
    <t>G_Gelezno_ТР28</t>
  </si>
  <si>
    <t>G_Gelezno_ТР29</t>
  </si>
  <si>
    <t>G_Gelezno_ТР30</t>
  </si>
  <si>
    <t>G_Gelezno_ТР31</t>
  </si>
  <si>
    <t>G_Gelezno_ТР32</t>
  </si>
  <si>
    <t>G_Gelezno_ТР33</t>
  </si>
  <si>
    <t>G_Gelezno_ТР34</t>
  </si>
  <si>
    <t>G_Gelezno_ТР35</t>
  </si>
  <si>
    <t>G_Gelezno_ТР36</t>
  </si>
  <si>
    <t>G_Gelezno_ТР37</t>
  </si>
  <si>
    <t>"______"___________ 2018 г.</t>
  </si>
  <si>
    <t>"______"_________ 2018 г.</t>
  </si>
  <si>
    <t>"______"__________ 2018 г.</t>
  </si>
  <si>
    <t>М,П,</t>
  </si>
  <si>
    <t>"_____"__________ 2018 г.</t>
  </si>
  <si>
    <t>_____________________ А.Г. Дзиов</t>
  </si>
  <si>
    <t>"____"________ 2018 г.</t>
  </si>
  <si>
    <t>"_____"_________ 2018 г.</t>
  </si>
  <si>
    <r>
      <t xml:space="preserve">Финансирование капитальных вложений в прогнозных ценах соответствующих лет итого за период реализации инвестиционной программы, млн рублей </t>
    </r>
    <r>
      <rPr>
        <b/>
        <sz val="11"/>
        <rFont val="Times New Roman"/>
        <family val="1"/>
      </rPr>
      <t>(с НДС)</t>
    </r>
  </si>
  <si>
    <r>
      <t xml:space="preserve">Освоение капитальных вложений в прогнозных ценах соответствующих лет итого за период реализации инвестиционной программы, млн рублей </t>
    </r>
    <r>
      <rPr>
        <b/>
        <sz val="11"/>
        <rFont val="Times New Roman"/>
        <family val="1"/>
      </rPr>
      <t xml:space="preserve"> (без НДС)</t>
    </r>
  </si>
  <si>
    <t>"_____"_____________ 2018 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</si>
</sst>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_ ;\-#,##0\ "/>
    <numFmt numFmtId="173" formatCode="_-* #,##0.00\ _р_._-;\-* #,##0.00\ _р_._-;_-* &quot;-&quot;??\ _р_._-;_-@_-"/>
    <numFmt numFmtId="174" formatCode="0.000"/>
    <numFmt numFmtId="175" formatCode="[$-FC19]d\ mmmm\ yyyy\ &quot;г.&quot;"/>
    <numFmt numFmtId="176" formatCode="[$-F419]yyyy\,\ mmmm;@"/>
    <numFmt numFmtId="177" formatCode="#,##0.000"/>
    <numFmt numFmtId="178" formatCode="0.0000"/>
    <numFmt numFmtId="179" formatCode="mmm/yyyy"/>
    <numFmt numFmtId="180" formatCode="0.0"/>
    <numFmt numFmtId="181" formatCode="#,##0.0"/>
    <numFmt numFmtId="182" formatCode="#,##0.0000"/>
    <numFmt numFmtId="183" formatCode="#,##0.00000"/>
    <numFmt numFmtId="184" formatCode="#,##0.000000"/>
    <numFmt numFmtId="185" formatCode="#,##0.0000000"/>
    <numFmt numFmtId="186" formatCode="#,##0.00000000"/>
  </numFmts>
  <fonts count="71">
    <font>
      <sz val="12"/>
      <name val="Times New Roman"/>
      <family val="0"/>
    </font>
    <font>
      <sz val="11"/>
      <color indexed="8"/>
      <name val="Calibri"/>
      <family val="2"/>
    </font>
    <font>
      <b/>
      <sz val="12"/>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sz val="11"/>
      <color indexed="8"/>
      <name val="Times New Roman"/>
      <family val="1"/>
    </font>
    <font>
      <b/>
      <sz val="12"/>
      <color indexed="8"/>
      <name val="Times New Roman"/>
      <family val="1"/>
    </font>
    <font>
      <sz val="12"/>
      <color indexed="8"/>
      <name val="Times New Roman"/>
      <family val="1"/>
    </font>
    <font>
      <sz val="12"/>
      <color indexed="8"/>
      <name val="Calibri"/>
      <family val="2"/>
    </font>
    <font>
      <b/>
      <sz val="13"/>
      <color indexed="8"/>
      <name val="Times New Roman"/>
      <family val="1"/>
    </font>
    <font>
      <b/>
      <sz val="11"/>
      <color indexed="8"/>
      <name val="Times New Roman"/>
      <family val="1"/>
    </font>
    <font>
      <sz val="10"/>
      <name val="Arial"/>
      <family val="2"/>
    </font>
    <font>
      <sz val="14"/>
      <name val="Times New Roman"/>
      <family val="1"/>
    </font>
    <font>
      <sz val="14"/>
      <color indexed="8"/>
      <name val="Times New Roman"/>
      <family val="1"/>
    </font>
    <font>
      <b/>
      <sz val="14"/>
      <color indexed="8"/>
      <name val="Times New Roman"/>
      <family val="1"/>
    </font>
    <font>
      <b/>
      <sz val="14"/>
      <name val="Times New Roman"/>
      <family val="1"/>
    </font>
    <font>
      <sz val="13"/>
      <name val="Times New Roman"/>
      <family val="1"/>
    </font>
    <font>
      <sz val="11"/>
      <name val="Times New Roman"/>
      <family val="1"/>
    </font>
    <font>
      <sz val="9"/>
      <color indexed="8"/>
      <name val="Times New Roman"/>
      <family val="1"/>
    </font>
    <font>
      <sz val="9"/>
      <name val="Times New Roman"/>
      <family val="1"/>
    </font>
    <font>
      <sz val="12"/>
      <name val="Arial"/>
      <family val="2"/>
    </font>
    <font>
      <sz val="12"/>
      <color indexed="8"/>
      <name val="Arial"/>
      <family val="2"/>
    </font>
    <font>
      <b/>
      <sz val="12"/>
      <color indexed="8"/>
      <name val="Arial"/>
      <family val="2"/>
    </font>
    <font>
      <sz val="9"/>
      <color indexed="8"/>
      <name val="Arial"/>
      <family val="2"/>
    </font>
    <font>
      <i/>
      <sz val="12"/>
      <name val="Times New Roman"/>
      <family val="1"/>
    </font>
    <font>
      <sz val="11"/>
      <name val="Calibri"/>
      <family val="2"/>
    </font>
    <font>
      <b/>
      <i/>
      <sz val="11"/>
      <name val="Calibri"/>
      <family val="2"/>
    </font>
    <font>
      <b/>
      <sz val="11"/>
      <name val="Calibri"/>
      <family val="2"/>
    </font>
    <font>
      <sz val="11"/>
      <color indexed="29"/>
      <name val="Times New Roman"/>
      <family val="1"/>
    </font>
    <font>
      <sz val="10"/>
      <name val="Helv"/>
      <family val="0"/>
    </font>
    <font>
      <vertAlign val="superscript"/>
      <sz val="12"/>
      <name val="Times New Roman"/>
      <family val="1"/>
    </font>
    <font>
      <vertAlign val="superscript"/>
      <sz val="11"/>
      <name val="Times New Roman"/>
      <family val="1"/>
    </font>
    <font>
      <vertAlign val="superscript"/>
      <sz val="11"/>
      <color indexed="8"/>
      <name val="Times New Roman"/>
      <family val="1"/>
    </font>
    <font>
      <vertAlign val="superscript"/>
      <sz val="12"/>
      <color indexed="8"/>
      <name val="Times New Roman"/>
      <family val="1"/>
    </font>
    <font>
      <u val="single"/>
      <sz val="10.8"/>
      <color indexed="12"/>
      <name val="Times New Roman"/>
      <family val="0"/>
    </font>
    <font>
      <u val="single"/>
      <sz val="10.8"/>
      <color indexed="36"/>
      <name val="Times New Roman"/>
      <family val="0"/>
    </font>
    <font>
      <b/>
      <sz val="12"/>
      <color indexed="8"/>
      <name val="Calibri"/>
      <family val="2"/>
    </font>
    <font>
      <sz val="10"/>
      <color indexed="8"/>
      <name val="Times New Roman"/>
      <family val="1"/>
    </font>
    <font>
      <sz val="13"/>
      <color indexed="8"/>
      <name val="Times New Roman"/>
      <family val="1"/>
    </font>
    <font>
      <b/>
      <sz val="11"/>
      <name val="Times New Roman"/>
      <family val="1"/>
    </font>
    <font>
      <b/>
      <sz val="12"/>
      <name val="Tahoma"/>
      <family val="2"/>
    </font>
    <font>
      <sz val="8"/>
      <name val="Tahoma"/>
      <family val="2"/>
    </font>
    <font>
      <b/>
      <sz val="8"/>
      <name val="Tahoma"/>
      <family val="2"/>
    </font>
    <font>
      <b/>
      <sz val="11"/>
      <name val="Tahoma"/>
      <family val="2"/>
    </font>
    <font>
      <sz val="10"/>
      <name val="Times New Roman"/>
      <family val="1"/>
    </font>
    <font>
      <sz val="11"/>
      <color indexed="8"/>
      <name val="SimSun"/>
      <family val="2"/>
    </font>
    <font>
      <sz val="12"/>
      <color indexed="9"/>
      <name val="Times New Roman"/>
      <family val="1"/>
    </font>
    <font>
      <sz val="11"/>
      <color indexed="9"/>
      <name val="Times New Roman"/>
      <family val="1"/>
    </font>
    <font>
      <b/>
      <sz val="12"/>
      <color indexed="9"/>
      <name val="Times New Roman"/>
      <family val="1"/>
    </font>
    <font>
      <sz val="11"/>
      <color rgb="FF000000"/>
      <name val="SimSun"/>
      <family val="2"/>
    </font>
    <font>
      <sz val="11"/>
      <color theme="1"/>
      <name val="Calibri"/>
      <family val="2"/>
    </font>
    <font>
      <sz val="12"/>
      <color theme="0"/>
      <name val="Times New Roman"/>
      <family val="1"/>
    </font>
    <font>
      <sz val="11"/>
      <color theme="0"/>
      <name val="Times New Roman"/>
      <family val="1"/>
    </font>
    <font>
      <b/>
      <sz val="12"/>
      <color theme="0"/>
      <name val="Times New Roman"/>
      <family val="1"/>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right/>
      <top/>
      <bottom style="thin"/>
    </border>
    <border>
      <left style="thin"/>
      <right style="thin"/>
      <top/>
      <bottom/>
    </border>
    <border>
      <left style="thin"/>
      <right style="thin"/>
      <top/>
      <bottom style="thin"/>
    </border>
    <border>
      <left style="thin"/>
      <right style="thin"/>
      <top style="thin"/>
      <bottom/>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thin"/>
      <right style="medium"/>
      <top style="medium"/>
      <bottom/>
    </border>
    <border>
      <left style="medium"/>
      <right style="thin"/>
      <top/>
      <bottom style="thin"/>
    </border>
    <border>
      <left style="medium"/>
      <right style="thin"/>
      <top style="medium"/>
      <bottom/>
    </border>
    <border>
      <left style="thin"/>
      <right style="medium"/>
      <top/>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color indexed="63"/>
      </bottom>
    </border>
    <border>
      <left style="thin"/>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bottom/>
    </border>
    <border>
      <left/>
      <right/>
      <top style="thin"/>
      <bottom style="thin"/>
    </border>
    <border>
      <left style="thin"/>
      <right/>
      <top style="medium"/>
      <bottom/>
    </border>
    <border>
      <left/>
      <right/>
      <top style="medium"/>
      <bottom/>
    </border>
    <border>
      <left/>
      <right style="thin"/>
      <top style="medium"/>
      <bottom/>
    </border>
    <border>
      <left style="thin"/>
      <right/>
      <top/>
      <bottom style="thin"/>
    </border>
    <border>
      <left/>
      <right style="thin"/>
      <top/>
      <bottom style="thin"/>
    </border>
    <border>
      <left style="thin"/>
      <right/>
      <top style="medium"/>
      <bottom style="thin"/>
    </border>
    <border>
      <left/>
      <right/>
      <top style="medium"/>
      <bottom style="thin"/>
    </border>
    <border>
      <left>
        <color indexed="63"/>
      </left>
      <right style="thin"/>
      <top style="medium"/>
      <bottom style="thin"/>
    </border>
    <border>
      <left style="thin"/>
      <right/>
      <top/>
      <bottom/>
    </border>
    <border>
      <left/>
      <right style="thin"/>
      <top/>
      <bottom/>
    </border>
    <border>
      <left style="thin"/>
      <right/>
      <top style="thin"/>
      <bottom/>
    </border>
    <border>
      <left/>
      <right style="thin"/>
      <top style="thin"/>
      <bottom/>
    </border>
    <border>
      <left style="medium"/>
      <right style="thin"/>
      <top style="medium"/>
      <bottom style="thin"/>
    </border>
    <border>
      <left/>
      <right style="medium"/>
      <top style="medium"/>
      <bottom style="thin"/>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0" borderId="0">
      <alignment/>
      <protection/>
    </xf>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7" fillId="20" borderId="1" applyNumberFormat="0" applyAlignment="0" applyProtection="0"/>
    <xf numFmtId="0" fontId="7" fillId="20"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1" fillId="0" borderId="6" applyNumberFormat="0" applyFill="0" applyAlignment="0" applyProtection="0"/>
    <xf numFmtId="0" fontId="12" fillId="21" borderId="7" applyNumberFormat="0" applyAlignment="0" applyProtection="0"/>
    <xf numFmtId="0" fontId="12" fillId="21"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0" fillId="0" borderId="0">
      <alignment/>
      <protection/>
    </xf>
    <xf numFmtId="0" fontId="27"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51"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45"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cellStyleXfs>
  <cellXfs count="793">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horizontal="right"/>
    </xf>
    <xf numFmtId="0" fontId="2" fillId="0" borderId="0" xfId="0" applyFont="1" applyFill="1" applyAlignment="1">
      <alignment/>
    </xf>
    <xf numFmtId="0" fontId="0" fillId="0" borderId="0" xfId="0" applyFont="1" applyFill="1" applyAlignment="1">
      <alignment horizontal="right"/>
    </xf>
    <xf numFmtId="0" fontId="21" fillId="0" borderId="0" xfId="93" applyFont="1">
      <alignment/>
      <protection/>
    </xf>
    <xf numFmtId="0" fontId="21" fillId="0" borderId="0" xfId="93" applyFont="1" applyAlignment="1">
      <alignment vertical="center"/>
      <protection/>
    </xf>
    <xf numFmtId="0" fontId="21" fillId="0" borderId="0" xfId="93" applyFont="1" applyAlignment="1">
      <alignment horizontal="right" vertical="center"/>
      <protection/>
    </xf>
    <xf numFmtId="0" fontId="21" fillId="0" borderId="0" xfId="93" applyFont="1" applyAlignment="1">
      <alignment horizontal="center" vertical="center"/>
      <protection/>
    </xf>
    <xf numFmtId="0" fontId="21" fillId="0" borderId="0" xfId="93" applyFont="1" applyFill="1" applyAlignment="1">
      <alignment vertical="center"/>
      <protection/>
    </xf>
    <xf numFmtId="0" fontId="25" fillId="0" borderId="0" xfId="93" applyFont="1" applyAlignment="1">
      <alignment/>
      <protection/>
    </xf>
    <xf numFmtId="0" fontId="0" fillId="0" borderId="10" xfId="0" applyFont="1" applyBorder="1" applyAlignment="1">
      <alignment horizontal="justify" vertical="center" wrapText="1"/>
    </xf>
    <xf numFmtId="0" fontId="2" fillId="0" borderId="0" xfId="236" applyFont="1" applyFill="1" applyBorder="1" applyAlignment="1">
      <alignment/>
      <protection/>
    </xf>
    <xf numFmtId="0" fontId="22" fillId="0" borderId="0" xfId="100" applyFont="1" applyFill="1" applyBorder="1" applyAlignment="1">
      <alignment vertical="center"/>
      <protection/>
    </xf>
    <xf numFmtId="0" fontId="28" fillId="0" borderId="0" xfId="93" applyFont="1" applyAlignment="1">
      <alignment horizontal="right"/>
      <protection/>
    </xf>
    <xf numFmtId="0" fontId="32" fillId="0" borderId="0" xfId="93" applyFont="1" applyFill="1" applyAlignment="1">
      <alignment horizontal="right"/>
      <protection/>
    </xf>
    <xf numFmtId="0" fontId="21" fillId="0" borderId="0" xfId="93" applyFont="1" applyFill="1">
      <alignment/>
      <protection/>
    </xf>
    <xf numFmtId="0" fontId="0" fillId="0" borderId="0" xfId="0" applyFont="1" applyFill="1" applyAlignment="1">
      <alignment/>
    </xf>
    <xf numFmtId="0" fontId="24" fillId="0" borderId="0" xfId="100" applyFont="1" applyFill="1" applyBorder="1" applyAlignment="1">
      <alignment horizontal="center" vertical="center"/>
      <protection/>
    </xf>
    <xf numFmtId="1" fontId="2" fillId="0" borderId="0" xfId="0" applyNumberFormat="1" applyFont="1" applyFill="1" applyBorder="1" applyAlignment="1">
      <alignment vertical="top"/>
    </xf>
    <xf numFmtId="0" fontId="0" fillId="0" borderId="10" xfId="0" applyFont="1" applyBorder="1" applyAlignment="1">
      <alignment/>
    </xf>
    <xf numFmtId="0" fontId="0" fillId="0" borderId="0" xfId="0" applyFont="1" applyBorder="1" applyAlignment="1">
      <alignment/>
    </xf>
    <xf numFmtId="0" fontId="0" fillId="0" borderId="0" xfId="0" applyFont="1" applyFill="1" applyBorder="1" applyAlignment="1">
      <alignment horizontal="center" vertical="center" textRotation="90" wrapText="1"/>
    </xf>
    <xf numFmtId="0" fontId="34" fillId="0" borderId="0" xfId="201" applyFont="1">
      <alignment/>
      <protection/>
    </xf>
    <xf numFmtId="0" fontId="28" fillId="0" borderId="0" xfId="93" applyFont="1" applyAlignment="1">
      <alignment horizontal="right" vertical="center"/>
      <protection/>
    </xf>
    <xf numFmtId="0" fontId="29" fillId="0" borderId="0" xfId="201" applyFont="1" applyAlignment="1">
      <alignment horizontal="center" vertical="center"/>
      <protection/>
    </xf>
    <xf numFmtId="0" fontId="34" fillId="0" borderId="0" xfId="201" applyFont="1" applyAlignment="1">
      <alignment vertical="center"/>
      <protection/>
    </xf>
    <xf numFmtId="0" fontId="35" fillId="0" borderId="0" xfId="201" applyFont="1">
      <alignment/>
      <protection/>
    </xf>
    <xf numFmtId="0" fontId="23" fillId="0" borderId="0" xfId="201" applyFont="1">
      <alignment/>
      <protection/>
    </xf>
    <xf numFmtId="0" fontId="36" fillId="0" borderId="0" xfId="201" applyFont="1">
      <alignment/>
      <protection/>
    </xf>
    <xf numFmtId="0" fontId="37" fillId="0" borderId="0" xfId="201" applyFont="1">
      <alignment/>
      <protection/>
    </xf>
    <xf numFmtId="0" fontId="38" fillId="0" borderId="0" xfId="201" applyFont="1" applyAlignment="1">
      <alignment horizontal="left" vertical="center"/>
      <protection/>
    </xf>
    <xf numFmtId="0" fontId="37" fillId="0" borderId="0" xfId="201" applyFont="1" applyBorder="1">
      <alignment/>
      <protection/>
    </xf>
    <xf numFmtId="0" fontId="23" fillId="0" borderId="0" xfId="201" applyFont="1" applyAlignment="1">
      <alignment horizontal="center"/>
      <protection/>
    </xf>
    <xf numFmtId="0" fontId="39" fillId="0" borderId="0" xfId="201" applyFont="1">
      <alignment/>
      <protection/>
    </xf>
    <xf numFmtId="0" fontId="39" fillId="0" borderId="10" xfId="201" applyFont="1" applyFill="1" applyBorder="1">
      <alignment/>
      <protection/>
    </xf>
    <xf numFmtId="0" fontId="39" fillId="0" borderId="10" xfId="201" applyFont="1" applyBorder="1">
      <alignment/>
      <protection/>
    </xf>
    <xf numFmtId="0" fontId="0" fillId="0" borderId="10" xfId="236" applyFont="1" applyBorder="1" applyAlignment="1">
      <alignment horizontal="center" vertical="center" textRotation="90" wrapText="1"/>
      <protection/>
    </xf>
    <xf numFmtId="0" fontId="23" fillId="0" borderId="10" xfId="100" applyFont="1" applyBorder="1" applyAlignment="1">
      <alignment horizontal="center" vertical="center"/>
      <protection/>
    </xf>
    <xf numFmtId="0" fontId="31" fillId="0" borderId="0" xfId="0" applyFont="1" applyFill="1" applyAlignment="1">
      <alignment/>
    </xf>
    <xf numFmtId="0" fontId="2" fillId="0" borderId="11" xfId="236" applyFont="1" applyFill="1" applyBorder="1" applyAlignment="1">
      <alignment/>
      <protection/>
    </xf>
    <xf numFmtId="0" fontId="22" fillId="0" borderId="0" xfId="98" applyFont="1" applyFill="1" applyBorder="1" applyAlignment="1">
      <alignment/>
      <protection/>
    </xf>
    <xf numFmtId="0" fontId="0" fillId="0" borderId="0" xfId="0" applyFont="1" applyAlignment="1">
      <alignment horizontal="left"/>
    </xf>
    <xf numFmtId="0" fontId="21" fillId="0" borderId="10" xfId="93" applyFont="1" applyFill="1" applyBorder="1" applyAlignment="1">
      <alignment horizontal="center" vertical="center"/>
      <protection/>
    </xf>
    <xf numFmtId="49" fontId="23" fillId="0" borderId="10" xfId="201" applyNumberFormat="1" applyFont="1" applyBorder="1" applyAlignment="1">
      <alignment horizontal="center" vertical="center"/>
      <protection/>
    </xf>
    <xf numFmtId="0" fontId="23" fillId="0" borderId="0" xfId="201" applyFont="1" applyAlignment="1">
      <alignment horizontal="center" vertical="center"/>
      <protection/>
    </xf>
    <xf numFmtId="0" fontId="22" fillId="0" borderId="10" xfId="201" applyFont="1" applyBorder="1" applyAlignment="1">
      <alignment horizontal="center" vertical="center" wrapText="1"/>
      <protection/>
    </xf>
    <xf numFmtId="0" fontId="31" fillId="0" borderId="0" xfId="94" applyFont="1" applyAlignment="1">
      <alignment horizontal="center" wrapText="1"/>
      <protection/>
    </xf>
    <xf numFmtId="0" fontId="23" fillId="0" borderId="0" xfId="201" applyFont="1" applyAlignment="1">
      <alignment vertical="center"/>
      <protection/>
    </xf>
    <xf numFmtId="0" fontId="21" fillId="0" borderId="0" xfId="93" applyFont="1" applyAlignment="1">
      <alignment horizontal="center"/>
      <protection/>
    </xf>
    <xf numFmtId="0" fontId="26" fillId="0" borderId="0" xfId="93" applyFont="1" applyAlignment="1">
      <alignment horizontal="center" vertical="center" wrapText="1"/>
      <protection/>
    </xf>
    <xf numFmtId="0" fontId="21" fillId="0" borderId="0" xfId="93" applyFont="1" applyAlignment="1">
      <alignment horizontal="center" vertical="center" wrapText="1"/>
      <protection/>
    </xf>
    <xf numFmtId="0" fontId="33" fillId="0" borderId="0" xfId="93" applyFont="1" applyFill="1" applyBorder="1" applyAlignment="1">
      <alignment horizontal="center" vertical="center"/>
      <protection/>
    </xf>
    <xf numFmtId="0" fontId="21" fillId="0" borderId="0" xfId="93" applyFont="1" applyBorder="1" applyAlignment="1">
      <alignment horizontal="center" vertical="center"/>
      <protection/>
    </xf>
    <xf numFmtId="0" fontId="42" fillId="0" borderId="0" xfId="93" applyFont="1" applyFill="1" applyBorder="1" applyAlignment="1">
      <alignment horizontal="left" vertical="center" wrapText="1"/>
      <protection/>
    </xf>
    <xf numFmtId="0" fontId="43" fillId="0" borderId="0" xfId="93" applyFont="1" applyFill="1" applyBorder="1" applyAlignment="1">
      <alignment horizontal="left" vertical="center" wrapText="1"/>
      <protection/>
    </xf>
    <xf numFmtId="0" fontId="41" fillId="0" borderId="0" xfId="93" applyFont="1" applyFill="1" applyBorder="1" applyAlignment="1">
      <alignment horizontal="center" vertical="center" wrapText="1"/>
      <protection/>
    </xf>
    <xf numFmtId="0" fontId="42" fillId="0" borderId="0" xfId="93" applyFont="1" applyFill="1" applyBorder="1" applyAlignment="1">
      <alignment horizontal="center" vertical="center" wrapText="1"/>
      <protection/>
    </xf>
    <xf numFmtId="0" fontId="21" fillId="0" borderId="10" xfId="93" applyFont="1" applyBorder="1">
      <alignment/>
      <protection/>
    </xf>
    <xf numFmtId="0" fontId="21" fillId="0" borderId="10" xfId="93" applyFont="1" applyBorder="1" applyAlignment="1">
      <alignment vertical="center"/>
      <protection/>
    </xf>
    <xf numFmtId="0" fontId="44" fillId="0" borderId="0" xfId="93" applyFont="1" applyFill="1" applyAlignment="1">
      <alignment wrapText="1"/>
      <protection/>
    </xf>
    <xf numFmtId="0" fontId="28" fillId="0" borderId="0" xfId="0" applyFont="1" applyFill="1" applyAlignment="1">
      <alignment/>
    </xf>
    <xf numFmtId="0" fontId="23" fillId="0" borderId="0" xfId="100" applyFont="1" applyFill="1" applyBorder="1" applyAlignment="1">
      <alignment horizontal="center" vertical="center" textRotation="90" wrapText="1"/>
      <protection/>
    </xf>
    <xf numFmtId="0" fontId="22" fillId="0" borderId="0" xfId="201" applyFont="1" applyBorder="1" applyAlignment="1">
      <alignment horizontal="center" vertical="center" wrapText="1"/>
      <protection/>
    </xf>
    <xf numFmtId="0" fontId="31" fillId="0" borderId="0" xfId="94" applyFont="1" applyAlignment="1">
      <alignment wrapText="1"/>
      <protection/>
    </xf>
    <xf numFmtId="49" fontId="23" fillId="0" borderId="10" xfId="201" applyNumberFormat="1" applyFont="1" applyFill="1" applyBorder="1" applyAlignment="1">
      <alignment horizontal="center" vertical="center"/>
      <protection/>
    </xf>
    <xf numFmtId="0" fontId="21" fillId="0" borderId="10" xfId="93" applyFont="1" applyBorder="1" applyAlignment="1">
      <alignment horizontal="center" vertical="center" textRotation="90"/>
      <protection/>
    </xf>
    <xf numFmtId="0" fontId="40" fillId="0" borderId="10" xfId="0" applyFont="1" applyBorder="1" applyAlignment="1">
      <alignment vertical="center" wrapText="1"/>
    </xf>
    <xf numFmtId="0" fontId="23" fillId="0" borderId="10" xfId="201" applyFont="1" applyBorder="1" applyAlignment="1">
      <alignment horizontal="center" vertical="center" wrapText="1"/>
      <protection/>
    </xf>
    <xf numFmtId="0" fontId="30" fillId="0" borderId="0" xfId="201" applyFont="1" applyAlignment="1">
      <alignment horizontal="center"/>
      <protection/>
    </xf>
    <xf numFmtId="0" fontId="23" fillId="0" borderId="0" xfId="201" applyFont="1" applyAlignment="1">
      <alignment horizontal="center" vertical="top"/>
      <protection/>
    </xf>
    <xf numFmtId="0" fontId="31" fillId="0" borderId="0" xfId="0" applyFont="1" applyFill="1" applyAlignment="1">
      <alignment horizontal="center"/>
    </xf>
    <xf numFmtId="0" fontId="0" fillId="0" borderId="12" xfId="0" applyFont="1" applyFill="1" applyBorder="1" applyAlignment="1">
      <alignment horizontal="center" vertical="center" textRotation="90" wrapText="1"/>
    </xf>
    <xf numFmtId="0" fontId="30" fillId="0" borderId="0" xfId="201" applyFont="1" applyAlignment="1">
      <alignment vertical="center"/>
      <protection/>
    </xf>
    <xf numFmtId="0" fontId="23" fillId="0" borderId="0" xfId="201" applyFont="1" applyAlignment="1">
      <alignment vertical="top"/>
      <protection/>
    </xf>
    <xf numFmtId="49" fontId="24" fillId="0" borderId="0" xfId="100" applyNumberFormat="1" applyFont="1" applyFill="1" applyBorder="1" applyAlignment="1">
      <alignment horizontal="center" vertical="center"/>
      <protection/>
    </xf>
    <xf numFmtId="0" fontId="0" fillId="0" borderId="0" xfId="0" applyFont="1" applyAlignment="1">
      <alignment wrapText="1"/>
    </xf>
    <xf numFmtId="0" fontId="28" fillId="0" borderId="0" xfId="0" applyFont="1" applyFill="1" applyAlignment="1">
      <alignment vertical="center"/>
    </xf>
    <xf numFmtId="0" fontId="0" fillId="0" borderId="0" xfId="0" applyFont="1" applyFill="1" applyAlignment="1">
      <alignment vertical="center"/>
    </xf>
    <xf numFmtId="0" fontId="30" fillId="0" borderId="0" xfId="201" applyFont="1" applyAlignment="1">
      <alignment/>
      <protection/>
    </xf>
    <xf numFmtId="0" fontId="22" fillId="0" borderId="0" xfId="201" applyFont="1" applyAlignment="1">
      <alignment vertical="center"/>
      <protection/>
    </xf>
    <xf numFmtId="0" fontId="0" fillId="0" borderId="10" xfId="0" applyFont="1" applyBorder="1" applyAlignment="1">
      <alignment horizontal="center" vertical="center"/>
    </xf>
    <xf numFmtId="0" fontId="21" fillId="0" borderId="13" xfId="93" applyFont="1" applyFill="1" applyBorder="1" applyAlignment="1">
      <alignment horizontal="center" vertical="center" wrapText="1"/>
      <protection/>
    </xf>
    <xf numFmtId="0" fontId="21" fillId="0" borderId="10" xfId="93" applyFont="1" applyBorder="1" applyAlignment="1">
      <alignment horizontal="center" vertical="center"/>
      <protection/>
    </xf>
    <xf numFmtId="0" fontId="2" fillId="0" borderId="0" xfId="0" applyFont="1" applyFill="1" applyAlignment="1">
      <alignment horizontal="center"/>
    </xf>
    <xf numFmtId="0" fontId="31" fillId="0" borderId="0" xfId="0" applyFont="1" applyFill="1" applyAlignment="1">
      <alignment vertical="center"/>
    </xf>
    <xf numFmtId="0" fontId="2" fillId="0" borderId="0" xfId="0" applyFont="1" applyFill="1" applyAlignment="1">
      <alignment/>
    </xf>
    <xf numFmtId="0" fontId="21" fillId="0" borderId="0" xfId="93" applyFont="1" applyAlignment="1">
      <alignment/>
      <protection/>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23" fillId="0" borderId="10" xfId="100" applyFont="1" applyFill="1" applyBorder="1" applyAlignment="1">
      <alignment horizontal="center" vertical="center"/>
      <protection/>
    </xf>
    <xf numFmtId="0" fontId="23" fillId="0" borderId="10" xfId="100" applyFont="1" applyFill="1" applyBorder="1" applyAlignment="1">
      <alignment horizontal="center" vertical="center" wrapText="1"/>
      <protection/>
    </xf>
    <xf numFmtId="0" fontId="25" fillId="0" borderId="0" xfId="93" applyFont="1" applyAlignment="1">
      <alignment horizontal="center"/>
      <protection/>
    </xf>
    <xf numFmtId="0" fontId="21" fillId="0" borderId="10" xfId="93" applyFont="1" applyFill="1" applyBorder="1" applyAlignment="1">
      <alignment horizontal="center" vertical="center" wrapText="1"/>
      <protection/>
    </xf>
    <xf numFmtId="0" fontId="0" fillId="0" borderId="10" xfId="236" applyFont="1" applyBorder="1" applyAlignment="1">
      <alignment horizontal="center" vertical="center" wrapText="1"/>
      <protection/>
    </xf>
    <xf numFmtId="0" fontId="23" fillId="0" borderId="14" xfId="201" applyFont="1" applyBorder="1" applyAlignment="1">
      <alignment horizontal="center" vertical="center" wrapText="1"/>
      <protection/>
    </xf>
    <xf numFmtId="0" fontId="23" fillId="0" borderId="10" xfId="201" applyFont="1" applyFill="1" applyBorder="1" applyAlignment="1">
      <alignment horizontal="center"/>
      <protection/>
    </xf>
    <xf numFmtId="0" fontId="23" fillId="0" borderId="10" xfId="201" applyFont="1" applyFill="1" applyBorder="1" applyAlignment="1">
      <alignment horizontal="center" vertical="center" wrapText="1"/>
      <protection/>
    </xf>
    <xf numFmtId="49" fontId="21" fillId="0" borderId="10" xfId="93" applyNumberFormat="1" applyFont="1" applyFill="1" applyBorder="1" applyAlignment="1">
      <alignment horizontal="center" vertical="center"/>
      <protection/>
    </xf>
    <xf numFmtId="0" fontId="33" fillId="0" borderId="10" xfId="91" applyFont="1" applyBorder="1" applyAlignment="1">
      <alignment horizontal="center" vertical="center" wrapText="1"/>
      <protection/>
    </xf>
    <xf numFmtId="0" fontId="21" fillId="0" borderId="10" xfId="201" applyFont="1" applyBorder="1" applyAlignment="1">
      <alignment horizontal="center" vertical="center" wrapText="1"/>
      <protection/>
    </xf>
    <xf numFmtId="0" fontId="0" fillId="0" borderId="10" xfId="0" applyFont="1" applyBorder="1" applyAlignment="1">
      <alignment horizontal="center"/>
    </xf>
    <xf numFmtId="49" fontId="23" fillId="0" borderId="10" xfId="100" applyNumberFormat="1" applyFont="1" applyFill="1" applyBorder="1" applyAlignment="1">
      <alignment horizontal="center" vertical="center"/>
      <protection/>
    </xf>
    <xf numFmtId="0" fontId="21" fillId="0" borderId="14" xfId="93" applyFont="1" applyBorder="1" applyAlignment="1">
      <alignment horizontal="center" vertical="center" wrapText="1"/>
      <protection/>
    </xf>
    <xf numFmtId="49" fontId="23" fillId="0" borderId="0" xfId="201" applyNumberFormat="1" applyFont="1" applyBorder="1" applyAlignment="1">
      <alignment horizontal="center" vertical="center"/>
      <protection/>
    </xf>
    <xf numFmtId="0" fontId="23" fillId="0" borderId="14"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0" fillId="0" borderId="0" xfId="0" applyFont="1" applyFill="1" applyAlignment="1">
      <alignment horizontal="center"/>
    </xf>
    <xf numFmtId="49" fontId="21" fillId="0" borderId="0" xfId="93" applyNumberFormat="1" applyFont="1">
      <alignment/>
      <protection/>
    </xf>
    <xf numFmtId="49" fontId="23" fillId="0" borderId="10" xfId="0" applyNumberFormat="1" applyFont="1" applyFill="1" applyBorder="1" applyAlignment="1">
      <alignment horizontal="center" vertical="center" wrapText="1"/>
    </xf>
    <xf numFmtId="0" fontId="21" fillId="0" borderId="0" xfId="93" applyFont="1" applyFill="1" applyBorder="1" applyAlignment="1">
      <alignment/>
      <protection/>
    </xf>
    <xf numFmtId="49" fontId="21" fillId="0" borderId="0" xfId="93" applyNumberFormat="1" applyFont="1" applyFill="1">
      <alignment/>
      <protection/>
    </xf>
    <xf numFmtId="0" fontId="28" fillId="0" borderId="0" xfId="93" applyFont="1" applyFill="1" applyAlignment="1">
      <alignment horizontal="right" vertical="center"/>
      <protection/>
    </xf>
    <xf numFmtId="0" fontId="28" fillId="0" borderId="0" xfId="93" applyFont="1" applyFill="1" applyAlignment="1">
      <alignment horizontal="right"/>
      <protection/>
    </xf>
    <xf numFmtId="0" fontId="23" fillId="0" borderId="10" xfId="0" applyFont="1" applyFill="1" applyBorder="1" applyAlignment="1">
      <alignment vertical="center" wrapText="1"/>
    </xf>
    <xf numFmtId="0" fontId="25" fillId="0" borderId="0" xfId="93" applyFont="1" applyAlignment="1">
      <alignment horizontal="center" wrapText="1"/>
      <protection/>
    </xf>
    <xf numFmtId="49" fontId="21" fillId="0" borderId="10" xfId="93" applyNumberFormat="1" applyFont="1" applyBorder="1" applyAlignment="1">
      <alignment horizontal="center"/>
      <protection/>
    </xf>
    <xf numFmtId="0" fontId="0" fillId="0" borderId="10" xfId="0" applyFont="1" applyFill="1" applyBorder="1" applyAlignment="1">
      <alignment horizontal="left" vertical="center" wrapText="1"/>
    </xf>
    <xf numFmtId="174" fontId="0" fillId="0" borderId="10" xfId="0" applyNumberFormat="1" applyFont="1" applyFill="1" applyBorder="1" applyAlignment="1">
      <alignment horizontal="center" vertical="center" wrapText="1"/>
    </xf>
    <xf numFmtId="174" fontId="0" fillId="0" borderId="0" xfId="0" applyNumberFormat="1" applyFont="1" applyAlignment="1">
      <alignment/>
    </xf>
    <xf numFmtId="176" fontId="0" fillId="0"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0" fontId="23" fillId="0" borderId="10" xfId="100" applyFont="1" applyFill="1" applyBorder="1" applyAlignment="1">
      <alignment horizontal="left" vertical="center"/>
      <protection/>
    </xf>
    <xf numFmtId="174" fontId="23" fillId="0" borderId="10" xfId="100" applyNumberFormat="1" applyFont="1" applyFill="1" applyBorder="1" applyAlignment="1">
      <alignment horizontal="center" vertical="center"/>
      <protection/>
    </xf>
    <xf numFmtId="177" fontId="23" fillId="0" borderId="10" xfId="100" applyNumberFormat="1" applyFont="1" applyFill="1" applyBorder="1" applyAlignment="1">
      <alignment horizontal="center" vertical="center"/>
      <protection/>
    </xf>
    <xf numFmtId="0" fontId="34" fillId="0" borderId="0" xfId="201" applyFont="1" applyFill="1">
      <alignment/>
      <protection/>
    </xf>
    <xf numFmtId="0" fontId="29" fillId="0" borderId="0" xfId="201" applyFont="1" applyFill="1" applyAlignment="1">
      <alignment horizontal="center" vertical="center"/>
      <protection/>
    </xf>
    <xf numFmtId="0" fontId="23" fillId="0" borderId="10" xfId="201" applyFont="1" applyFill="1" applyBorder="1" applyAlignment="1">
      <alignment horizontal="left"/>
      <protection/>
    </xf>
    <xf numFmtId="177" fontId="22" fillId="0" borderId="10" xfId="201" applyNumberFormat="1" applyFont="1" applyBorder="1" applyAlignment="1">
      <alignment horizontal="center"/>
      <protection/>
    </xf>
    <xf numFmtId="177" fontId="22" fillId="0" borderId="0" xfId="201" applyNumberFormat="1" applyFont="1">
      <alignment/>
      <protection/>
    </xf>
    <xf numFmtId="2" fontId="2" fillId="24" borderId="10" xfId="0" applyNumberFormat="1" applyFont="1" applyFill="1" applyBorder="1" applyAlignment="1">
      <alignment horizontal="center" vertical="center" wrapText="1"/>
    </xf>
    <xf numFmtId="49" fontId="34" fillId="0" borderId="0" xfId="201" applyNumberFormat="1" applyFont="1">
      <alignment/>
      <protection/>
    </xf>
    <xf numFmtId="49" fontId="29" fillId="0" borderId="0" xfId="201" applyNumberFormat="1" applyFont="1" applyAlignment="1">
      <alignment horizontal="center" vertical="center"/>
      <protection/>
    </xf>
    <xf numFmtId="49" fontId="2" fillId="24" borderId="15"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4"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2" fillId="0" borderId="10" xfId="100" applyFont="1" applyFill="1" applyBorder="1" applyAlignment="1">
      <alignment horizontal="center" vertical="center"/>
      <protection/>
    </xf>
    <xf numFmtId="0" fontId="22" fillId="0" borderId="10" xfId="100" applyFont="1" applyFill="1" applyBorder="1" applyAlignment="1">
      <alignment horizontal="left" vertical="center"/>
      <protection/>
    </xf>
    <xf numFmtId="177" fontId="22" fillId="0" borderId="10" xfId="100" applyNumberFormat="1" applyFont="1" applyFill="1" applyBorder="1" applyAlignment="1">
      <alignment horizontal="center" vertical="center"/>
      <protection/>
    </xf>
    <xf numFmtId="49" fontId="22" fillId="0" borderId="10" xfId="100" applyNumberFormat="1" applyFont="1" applyFill="1" applyBorder="1" applyAlignment="1">
      <alignment horizontal="center" vertical="center"/>
      <protection/>
    </xf>
    <xf numFmtId="174" fontId="22" fillId="0" borderId="10" xfId="100" applyNumberFormat="1" applyFont="1" applyFill="1" applyBorder="1" applyAlignment="1">
      <alignment horizontal="center" vertical="center"/>
      <protection/>
    </xf>
    <xf numFmtId="0" fontId="52" fillId="0" borderId="0" xfId="100" applyFont="1" applyFill="1" applyBorder="1" applyAlignment="1">
      <alignment horizontal="center" vertical="center"/>
      <protection/>
    </xf>
    <xf numFmtId="49" fontId="21" fillId="0" borderId="10" xfId="93" applyNumberFormat="1" applyFont="1" applyFill="1" applyBorder="1" applyAlignment="1">
      <alignment horizontal="left" vertical="center"/>
      <protection/>
    </xf>
    <xf numFmtId="49" fontId="26" fillId="0" borderId="10" xfId="93" applyNumberFormat="1" applyFont="1" applyFill="1" applyBorder="1" applyAlignment="1">
      <alignment horizontal="center" vertical="center"/>
      <protection/>
    </xf>
    <xf numFmtId="49" fontId="26" fillId="0" borderId="10" xfId="93" applyNumberFormat="1" applyFont="1" applyFill="1" applyBorder="1" applyAlignment="1">
      <alignment horizontal="left" vertical="center"/>
      <protection/>
    </xf>
    <xf numFmtId="0" fontId="26" fillId="0" borderId="10" xfId="93" applyFont="1" applyFill="1" applyBorder="1" applyAlignment="1">
      <alignment horizontal="center" vertical="center"/>
      <protection/>
    </xf>
    <xf numFmtId="177" fontId="21" fillId="0" borderId="10" xfId="93" applyNumberFormat="1" applyFont="1" applyFill="1" applyBorder="1" applyAlignment="1">
      <alignment horizontal="center" vertical="center"/>
      <protection/>
    </xf>
    <xf numFmtId="177" fontId="26" fillId="0" borderId="10" xfId="93" applyNumberFormat="1" applyFont="1" applyFill="1" applyBorder="1" applyAlignment="1">
      <alignment horizontal="center" vertical="center"/>
      <protection/>
    </xf>
    <xf numFmtId="49" fontId="26" fillId="0" borderId="10" xfId="93" applyNumberFormat="1" applyFont="1" applyFill="1" applyBorder="1" applyAlignment="1">
      <alignment horizontal="center" vertical="center" wrapText="1"/>
      <protection/>
    </xf>
    <xf numFmtId="49" fontId="21" fillId="0" borderId="10" xfId="93" applyNumberFormat="1" applyFont="1" applyFill="1" applyBorder="1" applyAlignment="1">
      <alignment horizontal="center" vertical="center" wrapText="1"/>
      <protection/>
    </xf>
    <xf numFmtId="0" fontId="0" fillId="0" borderId="10" xfId="0" applyFont="1" applyBorder="1" applyAlignment="1">
      <alignment horizontal="left" vertical="center" wrapText="1"/>
    </xf>
    <xf numFmtId="178" fontId="0" fillId="0" borderId="10" xfId="0" applyNumberFormat="1" applyFont="1" applyBorder="1" applyAlignment="1">
      <alignment horizontal="center" vertical="center" wrapText="1"/>
    </xf>
    <xf numFmtId="178" fontId="23" fillId="0" borderId="10" xfId="100" applyNumberFormat="1" applyFont="1" applyBorder="1" applyAlignment="1">
      <alignment horizontal="center" vertical="center"/>
      <protection/>
    </xf>
    <xf numFmtId="2" fontId="2" fillId="0" borderId="10" xfId="95" applyNumberFormat="1" applyFont="1" applyFill="1" applyBorder="1" applyAlignment="1">
      <alignment horizontal="left" vertical="center" wrapText="1"/>
      <protection/>
    </xf>
    <xf numFmtId="2" fontId="2" fillId="0" borderId="10" xfId="95" applyNumberFormat="1" applyFont="1" applyFill="1" applyBorder="1" applyAlignment="1">
      <alignment vertical="center" wrapText="1"/>
      <protection/>
    </xf>
    <xf numFmtId="0" fontId="22" fillId="0" borderId="10" xfId="201" applyFont="1" applyFill="1" applyBorder="1" applyAlignment="1">
      <alignment horizontal="left" vertical="center" wrapText="1"/>
      <protection/>
    </xf>
    <xf numFmtId="49" fontId="23" fillId="0" borderId="10" xfId="100" applyNumberFormat="1" applyFont="1" applyFill="1" applyBorder="1" applyAlignment="1">
      <alignment horizontal="left" vertical="center"/>
      <protection/>
    </xf>
    <xf numFmtId="0" fontId="21" fillId="0" borderId="0" xfId="93" applyFont="1" applyFill="1" applyAlignment="1">
      <alignment horizontal="center" vertical="center"/>
      <protection/>
    </xf>
    <xf numFmtId="0" fontId="23" fillId="0" borderId="10" xfId="201" applyFont="1" applyFill="1" applyBorder="1" applyAlignment="1">
      <alignment horizontal="left"/>
      <protection/>
    </xf>
    <xf numFmtId="0" fontId="23" fillId="0" borderId="10" xfId="201" applyFont="1" applyFill="1" applyBorder="1" applyAlignment="1">
      <alignment horizontal="left" vertical="center"/>
      <protection/>
    </xf>
    <xf numFmtId="177" fontId="23" fillId="0" borderId="10" xfId="201" applyNumberFormat="1" applyFont="1" applyFill="1" applyBorder="1" applyAlignment="1">
      <alignment horizontal="center"/>
      <protection/>
    </xf>
    <xf numFmtId="177" fontId="23" fillId="0" borderId="10" xfId="201" applyNumberFormat="1" applyFont="1" applyFill="1" applyBorder="1">
      <alignment/>
      <protection/>
    </xf>
    <xf numFmtId="0" fontId="23" fillId="0" borderId="0" xfId="201" applyFont="1" applyFill="1">
      <alignment/>
      <protection/>
    </xf>
    <xf numFmtId="0" fontId="23" fillId="0" borderId="10" xfId="201" applyFont="1" applyFill="1" applyBorder="1" applyAlignment="1">
      <alignment horizontal="left" wrapText="1"/>
      <protection/>
    </xf>
    <xf numFmtId="0" fontId="23" fillId="0" borderId="10" xfId="100" applyFont="1" applyFill="1" applyBorder="1" applyAlignment="1">
      <alignment horizontal="left" vertical="center" wrapText="1"/>
      <protection/>
    </xf>
    <xf numFmtId="49" fontId="23" fillId="0" borderId="10" xfId="100" applyNumberFormat="1" applyFont="1" applyFill="1" applyBorder="1" applyAlignment="1">
      <alignment horizontal="left" vertical="center" wrapText="1"/>
      <protection/>
    </xf>
    <xf numFmtId="0" fontId="23" fillId="0" borderId="10" xfId="201" applyFont="1" applyFill="1" applyBorder="1" applyAlignment="1">
      <alignment horizontal="left" vertical="center"/>
      <protection/>
    </xf>
    <xf numFmtId="2" fontId="2" fillId="0" borderId="10" xfId="0" applyNumberFormat="1" applyFont="1" applyFill="1" applyBorder="1" applyAlignment="1">
      <alignment horizontal="center" vertical="center" wrapText="1"/>
    </xf>
    <xf numFmtId="177" fontId="22" fillId="0" borderId="10" xfId="201" applyNumberFormat="1" applyFont="1" applyFill="1" applyBorder="1" applyAlignment="1">
      <alignment horizontal="center"/>
      <protection/>
    </xf>
    <xf numFmtId="0" fontId="22" fillId="0" borderId="10" xfId="201" applyFont="1" applyFill="1" applyBorder="1" applyAlignment="1">
      <alignment horizontal="left" wrapText="1"/>
      <protection/>
    </xf>
    <xf numFmtId="0" fontId="0" fillId="0" borderId="14" xfId="0" applyFont="1" applyFill="1" applyBorder="1" applyAlignment="1">
      <alignment horizontal="center" vertical="center" textRotation="90" wrapText="1"/>
    </xf>
    <xf numFmtId="0" fontId="0" fillId="0" borderId="12" xfId="0" applyFont="1" applyFill="1" applyBorder="1" applyAlignment="1">
      <alignment horizontal="center" vertical="center" wrapText="1"/>
    </xf>
    <xf numFmtId="0" fontId="23" fillId="0" borderId="14" xfId="100" applyFont="1" applyFill="1" applyBorder="1" applyAlignment="1">
      <alignment horizontal="center" vertical="center" wrapText="1"/>
      <protection/>
    </xf>
    <xf numFmtId="0" fontId="23" fillId="0" borderId="0" xfId="100" applyFont="1" applyFill="1" applyBorder="1" applyAlignment="1">
      <alignment horizontal="center" vertical="center"/>
      <protection/>
    </xf>
    <xf numFmtId="0" fontId="33" fillId="0" borderId="14" xfId="0" applyFont="1" applyFill="1" applyBorder="1" applyAlignment="1">
      <alignment horizontal="center" vertical="center" wrapText="1"/>
    </xf>
    <xf numFmtId="0" fontId="28" fillId="0" borderId="11" xfId="93" applyFont="1" applyBorder="1" applyAlignment="1">
      <alignment horizontal="right"/>
      <protection/>
    </xf>
    <xf numFmtId="49" fontId="23" fillId="0" borderId="0" xfId="201" applyNumberFormat="1" applyFont="1" applyFill="1" applyBorder="1" applyAlignment="1">
      <alignment horizontal="center" vertical="center"/>
      <protection/>
    </xf>
    <xf numFmtId="0" fontId="23" fillId="0" borderId="0" xfId="201" applyFont="1" applyFill="1" applyBorder="1" applyAlignment="1">
      <alignment horizontal="left"/>
      <protection/>
    </xf>
    <xf numFmtId="0" fontId="23" fillId="0" borderId="0" xfId="201" applyFont="1" applyFill="1" applyBorder="1" applyAlignment="1">
      <alignment horizontal="left" vertical="center"/>
      <protection/>
    </xf>
    <xf numFmtId="177" fontId="23" fillId="0" borderId="0" xfId="201" applyNumberFormat="1" applyFont="1" applyFill="1" applyBorder="1" applyAlignment="1">
      <alignment horizontal="center"/>
      <protection/>
    </xf>
    <xf numFmtId="177" fontId="23" fillId="0" borderId="0" xfId="201" applyNumberFormat="1" applyFont="1" applyFill="1" applyBorder="1">
      <alignment/>
      <protection/>
    </xf>
    <xf numFmtId="177" fontId="22" fillId="0" borderId="16" xfId="201" applyNumberFormat="1" applyFont="1" applyBorder="1" applyAlignment="1">
      <alignment horizontal="center"/>
      <protection/>
    </xf>
    <xf numFmtId="49" fontId="23" fillId="0" borderId="15" xfId="201" applyNumberFormat="1" applyFont="1" applyFill="1" applyBorder="1" applyAlignment="1">
      <alignment horizontal="center" vertical="center"/>
      <protection/>
    </xf>
    <xf numFmtId="177" fontId="23" fillId="0" borderId="16" xfId="201" applyNumberFormat="1" applyFont="1" applyFill="1" applyBorder="1">
      <alignment/>
      <protection/>
    </xf>
    <xf numFmtId="49" fontId="22" fillId="0" borderId="15" xfId="201" applyNumberFormat="1" applyFont="1" applyFill="1" applyBorder="1" applyAlignment="1">
      <alignment horizontal="center" vertical="center"/>
      <protection/>
    </xf>
    <xf numFmtId="177" fontId="22" fillId="0" borderId="16" xfId="201" applyNumberFormat="1" applyFont="1" applyFill="1" applyBorder="1" applyAlignment="1">
      <alignment horizontal="center"/>
      <protection/>
    </xf>
    <xf numFmtId="0" fontId="34" fillId="0" borderId="14" xfId="201" applyFont="1" applyBorder="1" applyAlignment="1">
      <alignment horizontal="center" vertical="center" textRotation="90" wrapText="1"/>
      <protection/>
    </xf>
    <xf numFmtId="0" fontId="34" fillId="0" borderId="17" xfId="201" applyFont="1" applyBorder="1" applyAlignment="1">
      <alignment horizontal="center" vertical="center" textRotation="90" wrapText="1"/>
      <protection/>
    </xf>
    <xf numFmtId="0" fontId="2" fillId="0" borderId="13" xfId="0" applyFont="1" applyFill="1" applyBorder="1" applyAlignment="1">
      <alignment horizontal="center" vertical="center" wrapText="1"/>
    </xf>
    <xf numFmtId="2" fontId="2" fillId="24" borderId="13" xfId="0" applyNumberFormat="1" applyFont="1" applyFill="1" applyBorder="1" applyAlignment="1">
      <alignment horizontal="center" vertical="center" wrapText="1"/>
    </xf>
    <xf numFmtId="177" fontId="22" fillId="0" borderId="13" xfId="201" applyNumberFormat="1" applyFont="1" applyBorder="1" applyAlignment="1">
      <alignment horizontal="center"/>
      <protection/>
    </xf>
    <xf numFmtId="177" fontId="22" fillId="0" borderId="18" xfId="201" applyNumberFormat="1" applyFont="1" applyBorder="1" applyAlignment="1">
      <alignment horizontal="center"/>
      <protection/>
    </xf>
    <xf numFmtId="49" fontId="23" fillId="0" borderId="19" xfId="201" applyNumberFormat="1" applyFont="1" applyBorder="1" applyAlignment="1">
      <alignment horizontal="center" vertical="center"/>
      <protection/>
    </xf>
    <xf numFmtId="0" fontId="23" fillId="0" borderId="20" xfId="201" applyFont="1" applyFill="1" applyBorder="1" applyAlignment="1">
      <alignment horizontal="center"/>
      <protection/>
    </xf>
    <xf numFmtId="0" fontId="23" fillId="0" borderId="20" xfId="201" applyFont="1" applyBorder="1" applyAlignment="1">
      <alignment horizontal="center" vertical="center"/>
      <protection/>
    </xf>
    <xf numFmtId="49" fontId="23" fillId="0" borderId="20" xfId="201" applyNumberFormat="1" applyFont="1" applyBorder="1" applyAlignment="1">
      <alignment horizontal="center"/>
      <protection/>
    </xf>
    <xf numFmtId="49" fontId="23" fillId="0" borderId="20" xfId="201" applyNumberFormat="1" applyFont="1" applyBorder="1" applyAlignment="1">
      <alignment horizontal="center"/>
      <protection/>
    </xf>
    <xf numFmtId="49" fontId="23" fillId="0" borderId="21" xfId="201" applyNumberFormat="1" applyFont="1" applyBorder="1" applyAlignment="1">
      <alignment horizontal="center"/>
      <protection/>
    </xf>
    <xf numFmtId="0" fontId="2" fillId="0" borderId="16" xfId="0"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49" fontId="2" fillId="0" borderId="15"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49" fontId="0" fillId="0" borderId="22"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23" xfId="0" applyFont="1" applyFill="1" applyBorder="1" applyAlignment="1">
      <alignment horizontal="center" vertical="center" wrapText="1"/>
    </xf>
    <xf numFmtId="174" fontId="0" fillId="0" borderId="23" xfId="0" applyNumberFormat="1" applyFont="1" applyFill="1" applyBorder="1" applyAlignment="1">
      <alignment horizontal="center" vertical="center" wrapText="1"/>
    </xf>
    <xf numFmtId="176" fontId="0" fillId="0" borderId="23" xfId="0" applyNumberFormat="1" applyFont="1" applyFill="1" applyBorder="1" applyAlignment="1">
      <alignment horizontal="center" vertical="center" wrapText="1"/>
    </xf>
    <xf numFmtId="177" fontId="0" fillId="0" borderId="23" xfId="0" applyNumberFormat="1"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12" xfId="0" applyFont="1" applyFill="1" applyBorder="1" applyAlignment="1">
      <alignment vertical="center" textRotation="90" wrapText="1"/>
    </xf>
    <xf numFmtId="174" fontId="0" fillId="0" borderId="14" xfId="0" applyNumberFormat="1" applyFont="1" applyFill="1" applyBorder="1" applyAlignment="1">
      <alignment horizontal="center" vertical="center" textRotation="90" wrapText="1"/>
    </xf>
    <xf numFmtId="177" fontId="2" fillId="0" borderId="13"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74" fontId="0" fillId="0" borderId="0" xfId="0" applyNumberFormat="1" applyFont="1" applyFill="1" applyBorder="1" applyAlignment="1">
      <alignment horizontal="center" vertical="center" wrapText="1"/>
    </xf>
    <xf numFmtId="177" fontId="2" fillId="0" borderId="16" xfId="0" applyNumberFormat="1" applyFon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wrapText="1"/>
    </xf>
    <xf numFmtId="177" fontId="2" fillId="0" borderId="18" xfId="0" applyNumberFormat="1" applyFont="1" applyFill="1" applyBorder="1" applyAlignment="1">
      <alignment horizontal="center" vertical="center" wrapText="1"/>
    </xf>
    <xf numFmtId="49" fontId="23" fillId="0" borderId="0" xfId="100" applyNumberFormat="1" applyFont="1" applyFill="1" applyBorder="1" applyAlignment="1">
      <alignment horizontal="center" vertical="center"/>
      <protection/>
    </xf>
    <xf numFmtId="0" fontId="23" fillId="0" borderId="0" xfId="100" applyFont="1" applyFill="1" applyBorder="1" applyAlignment="1">
      <alignment horizontal="left" vertical="center"/>
      <protection/>
    </xf>
    <xf numFmtId="177" fontId="23" fillId="0" borderId="0" xfId="100" applyNumberFormat="1" applyFont="1" applyFill="1" applyBorder="1" applyAlignment="1">
      <alignment horizontal="center" vertical="center"/>
      <protection/>
    </xf>
    <xf numFmtId="49" fontId="23" fillId="0" borderId="16" xfId="100" applyNumberFormat="1" applyFont="1" applyFill="1" applyBorder="1" applyAlignment="1">
      <alignment horizontal="center" vertical="center"/>
      <protection/>
    </xf>
    <xf numFmtId="174" fontId="23" fillId="0" borderId="16" xfId="100" applyNumberFormat="1" applyFont="1" applyFill="1" applyBorder="1" applyAlignment="1">
      <alignment horizontal="center" vertical="center"/>
      <protection/>
    </xf>
    <xf numFmtId="49" fontId="23" fillId="0" borderId="15" xfId="100" applyNumberFormat="1" applyFont="1" applyFill="1" applyBorder="1" applyAlignment="1">
      <alignment horizontal="center" vertical="center"/>
      <protection/>
    </xf>
    <xf numFmtId="49" fontId="22" fillId="0" borderId="15" xfId="100" applyNumberFormat="1" applyFont="1" applyFill="1" applyBorder="1" applyAlignment="1">
      <alignment horizontal="center" vertical="center"/>
      <protection/>
    </xf>
    <xf numFmtId="49" fontId="22" fillId="0" borderId="16" xfId="100" applyNumberFormat="1" applyFont="1" applyFill="1" applyBorder="1" applyAlignment="1">
      <alignment horizontal="center" vertical="center"/>
      <protection/>
    </xf>
    <xf numFmtId="49" fontId="23" fillId="0" borderId="22" xfId="100" applyNumberFormat="1" applyFont="1" applyFill="1" applyBorder="1" applyAlignment="1">
      <alignment horizontal="center" vertical="center"/>
      <protection/>
    </xf>
    <xf numFmtId="0" fontId="23" fillId="0" borderId="23" xfId="100" applyFont="1" applyFill="1" applyBorder="1" applyAlignment="1">
      <alignment horizontal="left" vertical="center"/>
      <protection/>
    </xf>
    <xf numFmtId="177" fontId="23" fillId="0" borderId="23" xfId="100" applyNumberFormat="1" applyFont="1" applyFill="1" applyBorder="1" applyAlignment="1">
      <alignment horizontal="center" vertical="center"/>
      <protection/>
    </xf>
    <xf numFmtId="0" fontId="23" fillId="0" borderId="14" xfId="100" applyFont="1" applyFill="1" applyBorder="1" applyAlignment="1">
      <alignment horizontal="center" vertical="center" textRotation="90" wrapText="1"/>
      <protection/>
    </xf>
    <xf numFmtId="174" fontId="23" fillId="0" borderId="18" xfId="100" applyNumberFormat="1" applyFont="1" applyFill="1" applyBorder="1" applyAlignment="1">
      <alignment horizontal="center" vertical="center"/>
      <protection/>
    </xf>
    <xf numFmtId="0" fontId="23" fillId="0" borderId="19" xfId="100" applyFont="1" applyFill="1" applyBorder="1" applyAlignment="1">
      <alignment horizontal="center" vertical="center"/>
      <protection/>
    </xf>
    <xf numFmtId="0" fontId="23" fillId="0" borderId="20" xfId="100" applyFont="1" applyFill="1" applyBorder="1" applyAlignment="1">
      <alignment horizontal="center" vertical="center"/>
      <protection/>
    </xf>
    <xf numFmtId="49" fontId="23" fillId="0" borderId="20" xfId="100" applyNumberFormat="1" applyFont="1" applyFill="1" applyBorder="1" applyAlignment="1">
      <alignment horizontal="center" vertical="center"/>
      <protection/>
    </xf>
    <xf numFmtId="49" fontId="23" fillId="0" borderId="21" xfId="100" applyNumberFormat="1" applyFont="1" applyFill="1" applyBorder="1" applyAlignment="1">
      <alignment horizontal="center" vertical="center"/>
      <protection/>
    </xf>
    <xf numFmtId="0" fontId="0" fillId="0" borderId="0" xfId="93" applyFont="1" applyAlignment="1">
      <alignment horizontal="right" vertical="center"/>
      <protection/>
    </xf>
    <xf numFmtId="0" fontId="0" fillId="0" borderId="0" xfId="93" applyFont="1" applyAlignment="1">
      <alignment horizontal="right"/>
      <protection/>
    </xf>
    <xf numFmtId="0" fontId="23" fillId="0" borderId="0" xfId="100" applyFont="1" applyFill="1" applyBorder="1" applyAlignment="1">
      <alignment horizontal="left" vertical="center" wrapText="1"/>
      <protection/>
    </xf>
    <xf numFmtId="177" fontId="23" fillId="0" borderId="16" xfId="100" applyNumberFormat="1" applyFont="1" applyFill="1" applyBorder="1" applyAlignment="1">
      <alignment horizontal="center" vertical="center"/>
      <protection/>
    </xf>
    <xf numFmtId="0" fontId="23" fillId="0" borderId="23" xfId="100" applyFont="1" applyFill="1" applyBorder="1" applyAlignment="1">
      <alignment horizontal="left" vertical="center" wrapText="1"/>
      <protection/>
    </xf>
    <xf numFmtId="177" fontId="23" fillId="0" borderId="24" xfId="100" applyNumberFormat="1" applyFont="1" applyFill="1" applyBorder="1" applyAlignment="1">
      <alignment horizontal="center" vertical="center"/>
      <protection/>
    </xf>
    <xf numFmtId="0" fontId="23" fillId="0" borderId="17" xfId="100" applyFont="1" applyFill="1" applyBorder="1" applyAlignment="1">
      <alignment horizontal="center" vertical="center" textRotation="90" wrapText="1"/>
      <protection/>
    </xf>
    <xf numFmtId="49" fontId="23" fillId="0" borderId="0" xfId="100" applyNumberFormat="1" applyFont="1" applyFill="1" applyBorder="1" applyAlignment="1">
      <alignment horizontal="left" vertical="center"/>
      <protection/>
    </xf>
    <xf numFmtId="174" fontId="23" fillId="0" borderId="0" xfId="100" applyNumberFormat="1" applyFont="1" applyFill="1" applyBorder="1" applyAlignment="1">
      <alignment horizontal="center" vertical="center"/>
      <protection/>
    </xf>
    <xf numFmtId="0" fontId="23" fillId="0" borderId="23" xfId="100" applyFont="1" applyFill="1" applyBorder="1" applyAlignment="1">
      <alignment horizontal="center" vertical="center"/>
      <protection/>
    </xf>
    <xf numFmtId="174" fontId="23" fillId="0" borderId="23" xfId="100" applyNumberFormat="1" applyFont="1" applyFill="1" applyBorder="1" applyAlignment="1">
      <alignment horizontal="center" vertical="center"/>
      <protection/>
    </xf>
    <xf numFmtId="49" fontId="23" fillId="0" borderId="13" xfId="100" applyNumberFormat="1" applyFont="1" applyFill="1" applyBorder="1" applyAlignment="1">
      <alignment horizontal="center" vertical="center"/>
      <protection/>
    </xf>
    <xf numFmtId="49" fontId="23" fillId="0" borderId="18" xfId="100" applyNumberFormat="1" applyFont="1" applyFill="1" applyBorder="1" applyAlignment="1">
      <alignment horizontal="center" vertical="center"/>
      <protection/>
    </xf>
    <xf numFmtId="0" fontId="23" fillId="0" borderId="16" xfId="100" applyFont="1" applyFill="1" applyBorder="1" applyAlignment="1">
      <alignment horizontal="center" vertical="center"/>
      <protection/>
    </xf>
    <xf numFmtId="0" fontId="22" fillId="0" borderId="16" xfId="100" applyFont="1" applyFill="1" applyBorder="1" applyAlignment="1">
      <alignment horizontal="center" vertical="center"/>
      <protection/>
    </xf>
    <xf numFmtId="0" fontId="23" fillId="0" borderId="24" xfId="100" applyFont="1" applyFill="1" applyBorder="1" applyAlignment="1">
      <alignment horizontal="center" vertical="center"/>
      <protection/>
    </xf>
    <xf numFmtId="0" fontId="23" fillId="0" borderId="18" xfId="100" applyFont="1" applyFill="1" applyBorder="1" applyAlignment="1">
      <alignment horizontal="center" vertical="center"/>
      <protection/>
    </xf>
    <xf numFmtId="0" fontId="23" fillId="0" borderId="21" xfId="100" applyFont="1" applyFill="1" applyBorder="1" applyAlignment="1">
      <alignment horizontal="center" vertical="center"/>
      <protection/>
    </xf>
    <xf numFmtId="0" fontId="0" fillId="0" borderId="0" xfId="0" applyFont="1" applyAlignment="1">
      <alignment horizontal="left" vertical="center"/>
    </xf>
    <xf numFmtId="177" fontId="22" fillId="0" borderId="16" xfId="100" applyNumberFormat="1" applyFont="1" applyFill="1" applyBorder="1" applyAlignment="1">
      <alignment horizontal="center" vertical="center"/>
      <protection/>
    </xf>
    <xf numFmtId="49" fontId="23" fillId="0" borderId="23" xfId="100" applyNumberFormat="1" applyFont="1" applyFill="1" applyBorder="1" applyAlignment="1">
      <alignment horizontal="center" vertical="center"/>
      <protection/>
    </xf>
    <xf numFmtId="49" fontId="23" fillId="0" borderId="24" xfId="100" applyNumberFormat="1" applyFont="1" applyFill="1" applyBorder="1" applyAlignment="1">
      <alignment horizontal="center" vertical="center"/>
      <protection/>
    </xf>
    <xf numFmtId="49" fontId="22" fillId="0" borderId="13" xfId="100" applyNumberFormat="1" applyFont="1" applyFill="1" applyBorder="1" applyAlignment="1">
      <alignment horizontal="center" vertical="center"/>
      <protection/>
    </xf>
    <xf numFmtId="49" fontId="21" fillId="0" borderId="0" xfId="93" applyNumberFormat="1" applyFont="1" applyFill="1" applyBorder="1" applyAlignment="1">
      <alignment horizontal="center" vertical="center"/>
      <protection/>
    </xf>
    <xf numFmtId="49" fontId="21" fillId="0" borderId="0" xfId="93" applyNumberFormat="1" applyFont="1" applyFill="1" applyBorder="1" applyAlignment="1">
      <alignment horizontal="left" vertical="center"/>
      <protection/>
    </xf>
    <xf numFmtId="0" fontId="21" fillId="0" borderId="0" xfId="93" applyFont="1" applyFill="1" applyBorder="1" applyAlignment="1">
      <alignment horizontal="center" vertical="center"/>
      <protection/>
    </xf>
    <xf numFmtId="0" fontId="21" fillId="0" borderId="0" xfId="93" applyFont="1" applyFill="1" applyBorder="1" applyAlignment="1">
      <alignment horizontal="center" vertical="center" wrapText="1"/>
      <protection/>
    </xf>
    <xf numFmtId="0" fontId="21" fillId="0" borderId="25" xfId="93" applyFont="1" applyFill="1" applyBorder="1" applyAlignment="1">
      <alignment horizontal="center" vertical="center" wrapText="1"/>
      <protection/>
    </xf>
    <xf numFmtId="0" fontId="23" fillId="0" borderId="25" xfId="201" applyFont="1" applyBorder="1" applyAlignment="1">
      <alignment horizontal="center" vertical="center" wrapText="1"/>
      <protection/>
    </xf>
    <xf numFmtId="0" fontId="21" fillId="0" borderId="16" xfId="93" applyFont="1" applyFill="1" applyBorder="1" applyAlignment="1">
      <alignment horizontal="center" vertical="center"/>
      <protection/>
    </xf>
    <xf numFmtId="0" fontId="26" fillId="0" borderId="16" xfId="93" applyFont="1" applyFill="1" applyBorder="1" applyAlignment="1">
      <alignment horizontal="center" vertical="center"/>
      <protection/>
    </xf>
    <xf numFmtId="49" fontId="21" fillId="0" borderId="15" xfId="93" applyNumberFormat="1" applyFont="1" applyFill="1" applyBorder="1" applyAlignment="1">
      <alignment horizontal="center" vertical="center"/>
      <protection/>
    </xf>
    <xf numFmtId="49" fontId="26" fillId="0" borderId="15" xfId="93" applyNumberFormat="1" applyFont="1" applyFill="1" applyBorder="1" applyAlignment="1">
      <alignment horizontal="center" vertical="center"/>
      <protection/>
    </xf>
    <xf numFmtId="49" fontId="21" fillId="0" borderId="22" xfId="93" applyNumberFormat="1" applyFont="1" applyFill="1" applyBorder="1" applyAlignment="1">
      <alignment horizontal="center" vertical="center"/>
      <protection/>
    </xf>
    <xf numFmtId="49" fontId="21" fillId="0" borderId="23" xfId="93" applyNumberFormat="1" applyFont="1" applyFill="1" applyBorder="1" applyAlignment="1">
      <alignment horizontal="left" vertical="center"/>
      <protection/>
    </xf>
    <xf numFmtId="49" fontId="21" fillId="0" borderId="23" xfId="93" applyNumberFormat="1" applyFont="1" applyFill="1" applyBorder="1" applyAlignment="1">
      <alignment horizontal="center" vertical="center"/>
      <protection/>
    </xf>
    <xf numFmtId="0" fontId="21" fillId="0" borderId="23" xfId="93" applyFont="1" applyFill="1" applyBorder="1" applyAlignment="1">
      <alignment horizontal="center" vertical="center"/>
      <protection/>
    </xf>
    <xf numFmtId="0" fontId="21" fillId="0" borderId="24" xfId="93" applyFont="1" applyFill="1" applyBorder="1" applyAlignment="1">
      <alignment horizontal="center" vertical="center"/>
      <protection/>
    </xf>
    <xf numFmtId="0" fontId="33" fillId="0" borderId="25" xfId="0" applyFont="1" applyFill="1" applyBorder="1" applyAlignment="1">
      <alignment horizontal="center" vertical="center" wrapText="1"/>
    </xf>
    <xf numFmtId="0" fontId="21" fillId="0" borderId="25" xfId="93" applyFont="1" applyBorder="1" applyAlignment="1">
      <alignment horizontal="center" vertical="center" wrapText="1"/>
      <protection/>
    </xf>
    <xf numFmtId="0" fontId="21" fillId="0" borderId="26" xfId="93" applyFont="1" applyFill="1" applyBorder="1" applyAlignment="1">
      <alignment horizontal="center" vertical="center" wrapText="1"/>
      <protection/>
    </xf>
    <xf numFmtId="0" fontId="26" fillId="0" borderId="13" xfId="93" applyFont="1" applyFill="1" applyBorder="1" applyAlignment="1">
      <alignment horizontal="center" vertical="center"/>
      <protection/>
    </xf>
    <xf numFmtId="0" fontId="26" fillId="0" borderId="18" xfId="93" applyFont="1" applyFill="1" applyBorder="1" applyAlignment="1">
      <alignment horizontal="center" vertical="center"/>
      <protection/>
    </xf>
    <xf numFmtId="0" fontId="21" fillId="0" borderId="19" xfId="93" applyFont="1" applyFill="1" applyBorder="1" applyAlignment="1">
      <alignment horizontal="center" vertical="center"/>
      <protection/>
    </xf>
    <xf numFmtId="0" fontId="21" fillId="0" borderId="20" xfId="93" applyFont="1" applyFill="1" applyBorder="1" applyAlignment="1">
      <alignment horizontal="center" vertical="center"/>
      <protection/>
    </xf>
    <xf numFmtId="0" fontId="21" fillId="0" borderId="21" xfId="93" applyFont="1" applyFill="1" applyBorder="1" applyAlignment="1">
      <alignment horizontal="center" vertical="center"/>
      <protection/>
    </xf>
    <xf numFmtId="49" fontId="23" fillId="0" borderId="0" xfId="201" applyNumberFormat="1" applyFont="1" applyFill="1" applyBorder="1" applyAlignment="1">
      <alignment horizontal="center"/>
      <protection/>
    </xf>
    <xf numFmtId="49" fontId="23" fillId="0" borderId="0" xfId="201" applyNumberFormat="1" applyFont="1" applyFill="1" applyBorder="1" applyAlignment="1">
      <alignment horizontal="left" wrapText="1"/>
      <protection/>
    </xf>
    <xf numFmtId="0" fontId="23" fillId="0" borderId="0" xfId="201" applyFont="1" applyFill="1" applyBorder="1" applyAlignment="1">
      <alignment horizontal="center"/>
      <protection/>
    </xf>
    <xf numFmtId="0" fontId="23" fillId="0" borderId="0" xfId="201" applyFont="1" applyFill="1" applyBorder="1" applyAlignment="1">
      <alignment horizontal="center"/>
      <protection/>
    </xf>
    <xf numFmtId="0" fontId="22" fillId="0" borderId="0" xfId="201" applyFont="1" applyFill="1" applyBorder="1" applyAlignment="1">
      <alignment horizontal="center"/>
      <protection/>
    </xf>
    <xf numFmtId="49" fontId="23" fillId="0" borderId="0" xfId="201" applyNumberFormat="1" applyFont="1" applyFill="1" applyBorder="1" applyAlignment="1">
      <alignment horizontal="center" wrapText="1"/>
      <protection/>
    </xf>
    <xf numFmtId="49" fontId="23" fillId="0" borderId="0" xfId="201" applyNumberFormat="1" applyFont="1" applyFill="1" applyBorder="1" applyAlignment="1">
      <alignment horizontal="left"/>
      <protection/>
    </xf>
    <xf numFmtId="177" fontId="21" fillId="0" borderId="0" xfId="93" applyNumberFormat="1" applyFont="1" applyFill="1" applyBorder="1" applyAlignment="1">
      <alignment horizontal="center" vertical="center"/>
      <protection/>
    </xf>
    <xf numFmtId="0" fontId="0" fillId="24" borderId="0" xfId="89" applyFont="1" applyFill="1" applyBorder="1" applyAlignment="1">
      <alignment horizontal="center" vertical="center" wrapText="1"/>
      <protection/>
    </xf>
    <xf numFmtId="0" fontId="33" fillId="0" borderId="14" xfId="0" applyFont="1" applyFill="1" applyBorder="1" applyAlignment="1">
      <alignment horizontal="center" vertical="center" textRotation="90" wrapText="1"/>
    </xf>
    <xf numFmtId="0" fontId="33" fillId="0" borderId="14" xfId="93" applyFont="1" applyFill="1" applyBorder="1" applyAlignment="1">
      <alignment horizontal="center" vertical="center" textRotation="90" wrapText="1"/>
      <protection/>
    </xf>
    <xf numFmtId="0" fontId="21" fillId="0" borderId="13" xfId="93" applyFont="1" applyFill="1" applyBorder="1" applyAlignment="1">
      <alignment horizontal="center" vertical="center"/>
      <protection/>
    </xf>
    <xf numFmtId="49" fontId="21" fillId="0" borderId="13" xfId="93" applyNumberFormat="1" applyFont="1" applyFill="1" applyBorder="1" applyAlignment="1">
      <alignment horizontal="center" vertical="center"/>
      <protection/>
    </xf>
    <xf numFmtId="49" fontId="21" fillId="0" borderId="20" xfId="93" applyNumberFormat="1" applyFont="1" applyFill="1" applyBorder="1" applyAlignment="1">
      <alignment horizontal="center" vertical="center"/>
      <protection/>
    </xf>
    <xf numFmtId="0" fontId="21" fillId="0" borderId="0" xfId="93" applyFont="1" applyAlignment="1">
      <alignment horizontal="right"/>
      <protection/>
    </xf>
    <xf numFmtId="0" fontId="21" fillId="0" borderId="0" xfId="93" applyFont="1" applyBorder="1" applyAlignment="1">
      <alignment vertical="center" wrapText="1"/>
      <protection/>
    </xf>
    <xf numFmtId="0" fontId="21" fillId="0" borderId="0" xfId="93" applyFont="1" applyBorder="1" applyAlignment="1">
      <alignment horizontal="left" vertical="center" wrapText="1"/>
      <protection/>
    </xf>
    <xf numFmtId="3" fontId="21" fillId="0" borderId="0" xfId="93" applyNumberFormat="1" applyFont="1" applyBorder="1" applyAlignment="1">
      <alignment horizontal="left" vertical="center"/>
      <protection/>
    </xf>
    <xf numFmtId="0" fontId="21" fillId="0" borderId="17" xfId="93" applyFont="1" applyBorder="1" applyAlignment="1">
      <alignment horizontal="center" vertical="center" wrapText="1"/>
      <protection/>
    </xf>
    <xf numFmtId="0" fontId="21" fillId="0" borderId="19" xfId="134" applyFont="1" applyFill="1" applyBorder="1" applyAlignment="1">
      <alignment horizontal="center" vertical="center" wrapText="1"/>
      <protection/>
    </xf>
    <xf numFmtId="0" fontId="21" fillId="0" borderId="20" xfId="93" applyFont="1" applyBorder="1" applyAlignment="1">
      <alignment horizontal="center" vertical="center" wrapText="1"/>
      <protection/>
    </xf>
    <xf numFmtId="0" fontId="21" fillId="0" borderId="20" xfId="134" applyFont="1" applyFill="1" applyBorder="1" applyAlignment="1">
      <alignment horizontal="center" vertical="center" wrapText="1"/>
      <protection/>
    </xf>
    <xf numFmtId="49" fontId="21" fillId="0" borderId="20" xfId="134" applyNumberFormat="1" applyFont="1" applyFill="1" applyBorder="1" applyAlignment="1">
      <alignment horizontal="center" vertical="center" wrapText="1"/>
      <protection/>
    </xf>
    <xf numFmtId="49" fontId="21" fillId="0" borderId="20" xfId="93" applyNumberFormat="1" applyFont="1" applyBorder="1" applyAlignment="1">
      <alignment horizontal="center" vertical="center" wrapText="1"/>
      <protection/>
    </xf>
    <xf numFmtId="49" fontId="21" fillId="0" borderId="21" xfId="134" applyNumberFormat="1" applyFont="1" applyFill="1" applyBorder="1" applyAlignment="1">
      <alignment horizontal="center" vertical="center" wrapText="1"/>
      <protection/>
    </xf>
    <xf numFmtId="49" fontId="23" fillId="0" borderId="15" xfId="201" applyNumberFormat="1" applyFont="1" applyFill="1" applyBorder="1" applyAlignment="1">
      <alignment horizontal="center" vertical="center"/>
      <protection/>
    </xf>
    <xf numFmtId="0" fontId="23" fillId="0" borderId="10" xfId="201" applyFont="1" applyFill="1" applyBorder="1" applyAlignment="1">
      <alignment horizontal="left" vertical="center" wrapText="1"/>
      <protection/>
    </xf>
    <xf numFmtId="49" fontId="2" fillId="0" borderId="27"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6" fillId="0" borderId="0" xfId="93" applyFont="1" applyFill="1" applyAlignment="1">
      <alignment horizontal="center" vertical="center"/>
      <protection/>
    </xf>
    <xf numFmtId="0" fontId="26" fillId="0" borderId="0" xfId="93" applyFont="1" applyFill="1">
      <alignment/>
      <protection/>
    </xf>
    <xf numFmtId="0" fontId="22" fillId="0" borderId="0" xfId="201" applyFont="1" applyFill="1" applyAlignment="1">
      <alignment horizontal="center"/>
      <protection/>
    </xf>
    <xf numFmtId="0" fontId="23" fillId="0" borderId="0" xfId="201" applyFont="1" applyFill="1" applyAlignment="1">
      <alignment horizontal="center"/>
      <protection/>
    </xf>
    <xf numFmtId="0" fontId="26" fillId="0" borderId="0" xfId="93" applyFont="1" applyFill="1" applyAlignment="1">
      <alignment vertical="center"/>
      <protection/>
    </xf>
    <xf numFmtId="0" fontId="0" fillId="0" borderId="10" xfId="89" applyFont="1" applyFill="1" applyBorder="1" applyAlignment="1">
      <alignment horizontal="center" vertical="center" wrapText="1"/>
      <protection/>
    </xf>
    <xf numFmtId="0" fontId="21" fillId="0" borderId="27" xfId="93" applyFont="1" applyFill="1" applyBorder="1" applyAlignment="1">
      <alignment horizontal="center" vertical="center"/>
      <protection/>
    </xf>
    <xf numFmtId="0" fontId="21" fillId="0" borderId="13" xfId="93" applyFont="1" applyFill="1" applyBorder="1" applyAlignment="1">
      <alignment vertical="center" wrapText="1"/>
      <protection/>
    </xf>
    <xf numFmtId="0" fontId="21" fillId="0" borderId="13" xfId="93" applyFont="1" applyFill="1" applyBorder="1" applyAlignment="1">
      <alignment horizontal="left" vertical="center" wrapText="1"/>
      <protection/>
    </xf>
    <xf numFmtId="14" fontId="21" fillId="0" borderId="13" xfId="93" applyNumberFormat="1" applyFont="1" applyFill="1" applyBorder="1" applyAlignment="1">
      <alignment horizontal="left" vertical="center" wrapText="1"/>
      <protection/>
    </xf>
    <xf numFmtId="4" fontId="21" fillId="0" borderId="13" xfId="93" applyNumberFormat="1" applyFont="1" applyFill="1" applyBorder="1" applyAlignment="1">
      <alignment horizontal="left" vertical="center" wrapText="1"/>
      <protection/>
    </xf>
    <xf numFmtId="4" fontId="21" fillId="0" borderId="18" xfId="93" applyNumberFormat="1" applyFont="1" applyFill="1" applyBorder="1" applyAlignment="1">
      <alignment horizontal="left" vertical="center"/>
      <protection/>
    </xf>
    <xf numFmtId="0" fontId="21" fillId="0" borderId="15" xfId="93" applyFont="1" applyFill="1" applyBorder="1" applyAlignment="1">
      <alignment horizontal="center" vertical="center"/>
      <protection/>
    </xf>
    <xf numFmtId="0" fontId="21" fillId="0" borderId="10" xfId="93" applyFont="1" applyFill="1" applyBorder="1" applyAlignment="1">
      <alignment vertical="center" wrapText="1"/>
      <protection/>
    </xf>
    <xf numFmtId="0" fontId="21" fillId="0" borderId="0" xfId="0" applyFont="1" applyFill="1" applyBorder="1" applyAlignment="1">
      <alignment horizontal="left" vertical="center" wrapText="1"/>
    </xf>
    <xf numFmtId="14" fontId="21" fillId="0" borderId="10" xfId="93" applyNumberFormat="1" applyFont="1" applyFill="1" applyBorder="1" applyAlignment="1">
      <alignment horizontal="left" vertical="center" wrapText="1"/>
      <protection/>
    </xf>
    <xf numFmtId="4" fontId="21" fillId="0" borderId="10" xfId="93" applyNumberFormat="1" applyFont="1" applyFill="1" applyBorder="1" applyAlignment="1">
      <alignment horizontal="left" vertical="center" wrapText="1"/>
      <protection/>
    </xf>
    <xf numFmtId="4" fontId="21" fillId="0" borderId="16" xfId="93" applyNumberFormat="1" applyFont="1" applyFill="1" applyBorder="1" applyAlignment="1">
      <alignment horizontal="left" vertical="center"/>
      <protection/>
    </xf>
    <xf numFmtId="0" fontId="21" fillId="0" borderId="22" xfId="93" applyFont="1" applyFill="1" applyBorder="1" applyAlignment="1">
      <alignment horizontal="center" vertical="center"/>
      <protection/>
    </xf>
    <xf numFmtId="0" fontId="21" fillId="0" borderId="23" xfId="93" applyFont="1" applyFill="1" applyBorder="1" applyAlignment="1">
      <alignment vertical="center" wrapText="1"/>
      <protection/>
    </xf>
    <xf numFmtId="0" fontId="21" fillId="0" borderId="23" xfId="93" applyFont="1" applyFill="1" applyBorder="1" applyAlignment="1">
      <alignment horizontal="left" vertical="center" wrapText="1"/>
      <protection/>
    </xf>
    <xf numFmtId="3" fontId="21" fillId="0" borderId="24" xfId="93" applyNumberFormat="1" applyFont="1" applyFill="1" applyBorder="1" applyAlignment="1">
      <alignment horizontal="left" vertical="center"/>
      <protection/>
    </xf>
    <xf numFmtId="0" fontId="0" fillId="0" borderId="14" xfId="236" applyFont="1" applyBorder="1" applyAlignment="1">
      <alignment horizontal="center" vertical="center" wrapText="1"/>
      <protection/>
    </xf>
    <xf numFmtId="0" fontId="33" fillId="0" borderId="14" xfId="93" applyFont="1" applyFill="1" applyBorder="1" applyAlignment="1">
      <alignment horizontal="center" vertical="center" wrapText="1"/>
      <protection/>
    </xf>
    <xf numFmtId="0" fontId="21" fillId="0" borderId="14" xfId="93" applyFont="1" applyFill="1" applyBorder="1" applyAlignment="1">
      <alignment horizontal="center" vertical="center" wrapText="1"/>
      <protection/>
    </xf>
    <xf numFmtId="0" fontId="22" fillId="0" borderId="10" xfId="100" applyFont="1" applyFill="1" applyBorder="1" applyAlignment="1">
      <alignment horizontal="left" vertical="center" wrapText="1"/>
      <protection/>
    </xf>
    <xf numFmtId="49" fontId="22" fillId="0" borderId="10" xfId="100" applyNumberFormat="1" applyFont="1" applyFill="1" applyBorder="1" applyAlignment="1">
      <alignment horizontal="left" vertical="center" wrapText="1"/>
      <protection/>
    </xf>
    <xf numFmtId="49" fontId="23" fillId="0" borderId="23" xfId="100" applyNumberFormat="1" applyFont="1" applyFill="1" applyBorder="1" applyAlignment="1">
      <alignment horizontal="left" vertical="center" wrapText="1"/>
      <protection/>
    </xf>
    <xf numFmtId="0" fontId="21" fillId="0" borderId="28" xfId="93" applyFont="1" applyFill="1" applyBorder="1" applyAlignment="1">
      <alignment horizontal="center" vertical="center" textRotation="90" wrapText="1"/>
      <protection/>
    </xf>
    <xf numFmtId="49" fontId="21" fillId="0" borderId="10" xfId="93" applyNumberFormat="1" applyFont="1" applyFill="1" applyBorder="1" applyAlignment="1">
      <alignment horizontal="left" vertical="center" wrapText="1"/>
      <protection/>
    </xf>
    <xf numFmtId="49" fontId="26" fillId="0" borderId="10" xfId="93" applyNumberFormat="1" applyFont="1" applyFill="1" applyBorder="1" applyAlignment="1">
      <alignment horizontal="left" vertical="center" wrapText="1"/>
      <protection/>
    </xf>
    <xf numFmtId="0" fontId="37" fillId="0" borderId="0" xfId="201" applyFont="1" applyAlignment="1">
      <alignment horizontal="right"/>
      <protection/>
    </xf>
    <xf numFmtId="49" fontId="23" fillId="0" borderId="22" xfId="201" applyNumberFormat="1" applyFont="1" applyFill="1" applyBorder="1" applyAlignment="1">
      <alignment horizontal="center"/>
      <protection/>
    </xf>
    <xf numFmtId="49" fontId="23" fillId="0" borderId="23" xfId="201" applyNumberFormat="1" applyFont="1" applyFill="1" applyBorder="1" applyAlignment="1">
      <alignment horizontal="left" wrapText="1"/>
      <protection/>
    </xf>
    <xf numFmtId="49" fontId="67" fillId="0" borderId="23" xfId="201" applyNumberFormat="1" applyFont="1" applyFill="1" applyBorder="1" applyAlignment="1">
      <alignment horizontal="center"/>
      <protection/>
    </xf>
    <xf numFmtId="0" fontId="23" fillId="0" borderId="23" xfId="201" applyFont="1" applyFill="1" applyBorder="1" applyAlignment="1">
      <alignment horizontal="center"/>
      <protection/>
    </xf>
    <xf numFmtId="0" fontId="23" fillId="0" borderId="23" xfId="201" applyFont="1" applyFill="1" applyBorder="1" applyAlignment="1">
      <alignment horizontal="center"/>
      <protection/>
    </xf>
    <xf numFmtId="0" fontId="22" fillId="0" borderId="23" xfId="201" applyFont="1" applyFill="1" applyBorder="1" applyAlignment="1">
      <alignment horizontal="center"/>
      <protection/>
    </xf>
    <xf numFmtId="49" fontId="23" fillId="0" borderId="23" xfId="201" applyNumberFormat="1" applyFont="1" applyFill="1" applyBorder="1" applyAlignment="1">
      <alignment horizontal="center" wrapText="1"/>
      <protection/>
    </xf>
    <xf numFmtId="0" fontId="23" fillId="0" borderId="24" xfId="201" applyFont="1" applyFill="1" applyBorder="1" applyAlignment="1">
      <alignment horizontal="center"/>
      <protection/>
    </xf>
    <xf numFmtId="0" fontId="21" fillId="0" borderId="14" xfId="93" applyFont="1" applyBorder="1" applyAlignment="1">
      <alignment horizontal="center" vertical="center" textRotation="90"/>
      <protection/>
    </xf>
    <xf numFmtId="0" fontId="21" fillId="0" borderId="14" xfId="93" applyFont="1" applyFill="1" applyBorder="1" applyAlignment="1">
      <alignment horizontal="center" vertical="center"/>
      <protection/>
    </xf>
    <xf numFmtId="0" fontId="0" fillId="0" borderId="14" xfId="91" applyFont="1" applyBorder="1" applyAlignment="1">
      <alignment horizontal="center" vertical="center" wrapText="1"/>
      <protection/>
    </xf>
    <xf numFmtId="0" fontId="23" fillId="0" borderId="17" xfId="201" applyFont="1" applyBorder="1" applyAlignment="1">
      <alignment horizontal="center" vertical="center" wrapText="1"/>
      <protection/>
    </xf>
    <xf numFmtId="0" fontId="23" fillId="0" borderId="19" xfId="201" applyFont="1" applyFill="1" applyBorder="1" applyAlignment="1">
      <alignment horizontal="center"/>
      <protection/>
    </xf>
    <xf numFmtId="0" fontId="23" fillId="0" borderId="21" xfId="201" applyFont="1" applyFill="1" applyBorder="1" applyAlignment="1">
      <alignment horizontal="center"/>
      <protection/>
    </xf>
    <xf numFmtId="0" fontId="21" fillId="0" borderId="18" xfId="93" applyFont="1" applyFill="1" applyBorder="1" applyAlignment="1">
      <alignment horizontal="center" vertical="center"/>
      <protection/>
    </xf>
    <xf numFmtId="0" fontId="68" fillId="0" borderId="10" xfId="93" applyFont="1" applyFill="1" applyBorder="1" applyAlignment="1">
      <alignment horizontal="center" vertical="center"/>
      <protection/>
    </xf>
    <xf numFmtId="0" fontId="34" fillId="0" borderId="14" xfId="201" applyFont="1" applyFill="1" applyBorder="1" applyAlignment="1">
      <alignment horizontal="center" vertical="center" textRotation="90" wrapText="1"/>
      <protection/>
    </xf>
    <xf numFmtId="49" fontId="23" fillId="0" borderId="20" xfId="201" applyNumberFormat="1" applyFont="1" applyFill="1" applyBorder="1" applyAlignment="1">
      <alignment horizontal="center"/>
      <protection/>
    </xf>
    <xf numFmtId="177" fontId="22" fillId="0" borderId="13" xfId="201" applyNumberFormat="1" applyFont="1" applyFill="1" applyBorder="1" applyAlignment="1">
      <alignment horizontal="center"/>
      <protection/>
    </xf>
    <xf numFmtId="177" fontId="67" fillId="0" borderId="10" xfId="0" applyNumberFormat="1" applyFont="1" applyFill="1" applyBorder="1" applyAlignment="1">
      <alignment horizontal="center" vertical="center" wrapText="1"/>
    </xf>
    <xf numFmtId="177" fontId="69" fillId="0" borderId="10" xfId="0" applyNumberFormat="1" applyFont="1" applyFill="1" applyBorder="1" applyAlignment="1">
      <alignment horizontal="center" vertical="center" wrapText="1"/>
    </xf>
    <xf numFmtId="0" fontId="28" fillId="0" borderId="11" xfId="93" applyFont="1" applyFill="1" applyBorder="1" applyAlignment="1">
      <alignment horizontal="right"/>
      <protection/>
    </xf>
    <xf numFmtId="49" fontId="23" fillId="0" borderId="22" xfId="201" applyNumberFormat="1" applyFont="1" applyFill="1" applyBorder="1" applyAlignment="1">
      <alignment horizontal="center" vertical="center"/>
      <protection/>
    </xf>
    <xf numFmtId="0" fontId="23" fillId="0" borderId="23" xfId="201" applyFont="1" applyFill="1" applyBorder="1" applyAlignment="1">
      <alignment horizontal="left" vertical="center" wrapText="1"/>
      <protection/>
    </xf>
    <xf numFmtId="2" fontId="0" fillId="0" borderId="23" xfId="0" applyNumberFormat="1" applyFont="1" applyFill="1" applyBorder="1" applyAlignment="1">
      <alignment horizontal="center" vertical="center" wrapText="1"/>
    </xf>
    <xf numFmtId="177" fontId="22" fillId="0" borderId="23" xfId="201" applyNumberFormat="1" applyFont="1" applyFill="1" applyBorder="1" applyAlignment="1">
      <alignment horizontal="center"/>
      <protection/>
    </xf>
    <xf numFmtId="177" fontId="22" fillId="0" borderId="24" xfId="201" applyNumberFormat="1" applyFont="1" applyFill="1" applyBorder="1" applyAlignment="1">
      <alignment horizontal="center"/>
      <protection/>
    </xf>
    <xf numFmtId="49" fontId="23" fillId="0" borderId="0" xfId="201" applyNumberFormat="1" applyFont="1" applyFill="1" applyBorder="1" applyAlignment="1">
      <alignment horizontal="center" vertical="center"/>
      <protection/>
    </xf>
    <xf numFmtId="0" fontId="23" fillId="0" borderId="0" xfId="201" applyFont="1" applyFill="1" applyBorder="1" applyAlignment="1">
      <alignment horizontal="left" vertical="center" wrapText="1"/>
      <protection/>
    </xf>
    <xf numFmtId="2" fontId="0" fillId="0" borderId="0" xfId="0" applyNumberFormat="1" applyFont="1" applyFill="1" applyBorder="1" applyAlignment="1">
      <alignment horizontal="center" vertical="center" wrapText="1"/>
    </xf>
    <xf numFmtId="177" fontId="22" fillId="0" borderId="0" xfId="201" applyNumberFormat="1" applyFont="1" applyFill="1" applyBorder="1" applyAlignment="1">
      <alignment horizontal="center"/>
      <protection/>
    </xf>
    <xf numFmtId="0" fontId="22" fillId="0" borderId="12" xfId="201" applyFont="1" applyFill="1" applyBorder="1" applyAlignment="1">
      <alignment horizontal="left" vertical="center" wrapText="1"/>
      <protection/>
    </xf>
    <xf numFmtId="177" fontId="22" fillId="0" borderId="12" xfId="201" applyNumberFormat="1" applyFont="1" applyFill="1" applyBorder="1" applyAlignment="1">
      <alignment horizontal="center"/>
      <protection/>
    </xf>
    <xf numFmtId="177" fontId="22" fillId="0" borderId="29" xfId="201" applyNumberFormat="1" applyFont="1" applyFill="1" applyBorder="1" applyAlignment="1">
      <alignment horizontal="center"/>
      <protection/>
    </xf>
    <xf numFmtId="0" fontId="22" fillId="0" borderId="0" xfId="201" applyFont="1" applyFill="1">
      <alignment/>
      <protection/>
    </xf>
    <xf numFmtId="2" fontId="0" fillId="0" borderId="10" xfId="0" applyNumberFormat="1" applyFont="1" applyFill="1" applyBorder="1" applyAlignment="1">
      <alignment horizontal="left" vertical="center" wrapText="1"/>
    </xf>
    <xf numFmtId="0" fontId="23" fillId="0" borderId="14" xfId="100" applyFont="1" applyFill="1" applyBorder="1" applyAlignment="1">
      <alignment horizontal="left" vertical="center"/>
      <protection/>
    </xf>
    <xf numFmtId="0" fontId="0" fillId="0" borderId="17" xfId="0" applyFont="1" applyFill="1" applyBorder="1" applyAlignment="1">
      <alignment horizontal="left" vertical="center" wrapText="1"/>
    </xf>
    <xf numFmtId="0" fontId="0" fillId="25" borderId="0" xfId="0" applyFont="1" applyFill="1" applyAlignment="1">
      <alignment/>
    </xf>
    <xf numFmtId="174" fontId="0" fillId="26" borderId="0" xfId="0" applyNumberFormat="1" applyFont="1" applyFill="1" applyAlignment="1">
      <alignment/>
    </xf>
    <xf numFmtId="0" fontId="0" fillId="26" borderId="0" xfId="0" applyFont="1" applyFill="1" applyAlignment="1">
      <alignment/>
    </xf>
    <xf numFmtId="0" fontId="30" fillId="0" borderId="0" xfId="201" applyFont="1" applyFill="1" applyAlignment="1">
      <alignment vertical="center"/>
      <protection/>
    </xf>
    <xf numFmtId="0" fontId="23" fillId="0" borderId="0" xfId="201" applyFont="1" applyFill="1" applyAlignment="1">
      <alignment vertical="top"/>
      <protection/>
    </xf>
    <xf numFmtId="0" fontId="34" fillId="26" borderId="0" xfId="201" applyFont="1" applyFill="1">
      <alignment/>
      <protection/>
    </xf>
    <xf numFmtId="0" fontId="34" fillId="25" borderId="0" xfId="201" applyFont="1" applyFill="1">
      <alignment/>
      <protection/>
    </xf>
    <xf numFmtId="49" fontId="2" fillId="24" borderId="27" xfId="0" applyNumberFormat="1" applyFont="1" applyFill="1" applyBorder="1" applyAlignment="1">
      <alignment horizontal="center" vertical="center" wrapText="1"/>
    </xf>
    <xf numFmtId="177" fontId="23" fillId="0" borderId="14" xfId="100" applyNumberFormat="1" applyFont="1" applyFill="1" applyBorder="1" applyAlignment="1">
      <alignment horizontal="center" vertical="center"/>
      <protection/>
    </xf>
    <xf numFmtId="0" fontId="0" fillId="0" borderId="10" xfId="100" applyFont="1" applyFill="1" applyBorder="1" applyAlignment="1">
      <alignment horizontal="left" vertical="center"/>
      <protection/>
    </xf>
    <xf numFmtId="177" fontId="23" fillId="0" borderId="17" xfId="100" applyNumberFormat="1" applyFont="1" applyFill="1" applyBorder="1" applyAlignment="1">
      <alignment horizontal="center" vertical="center"/>
      <protection/>
    </xf>
    <xf numFmtId="0" fontId="23" fillId="0" borderId="14" xfId="100" applyFont="1" applyFill="1" applyBorder="1" applyAlignment="1">
      <alignment horizontal="center" vertical="center"/>
      <protection/>
    </xf>
    <xf numFmtId="174" fontId="23" fillId="0" borderId="14" xfId="100" applyNumberFormat="1" applyFont="1" applyFill="1" applyBorder="1" applyAlignment="1">
      <alignment horizontal="center" vertical="center"/>
      <protection/>
    </xf>
    <xf numFmtId="0" fontId="53" fillId="0" borderId="16" xfId="100" applyFont="1" applyFill="1" applyBorder="1" applyAlignment="1">
      <alignment horizontal="center" vertical="center" wrapText="1"/>
      <protection/>
    </xf>
    <xf numFmtId="49" fontId="21" fillId="0" borderId="14" xfId="93" applyNumberFormat="1" applyFont="1" applyFill="1" applyBorder="1" applyAlignment="1">
      <alignment horizontal="left" vertical="center" wrapText="1"/>
      <protection/>
    </xf>
    <xf numFmtId="49" fontId="21" fillId="0" borderId="14" xfId="93" applyNumberFormat="1" applyFont="1" applyFill="1" applyBorder="1" applyAlignment="1">
      <alignment horizontal="center" vertical="center"/>
      <protection/>
    </xf>
    <xf numFmtId="0" fontId="21" fillId="0" borderId="17" xfId="93" applyFont="1" applyFill="1" applyBorder="1" applyAlignment="1">
      <alignment horizontal="center" vertical="center"/>
      <protection/>
    </xf>
    <xf numFmtId="0" fontId="21" fillId="0" borderId="30" xfId="93" applyFont="1" applyFill="1" applyBorder="1" applyAlignment="1">
      <alignment horizontal="center" vertical="center"/>
      <protection/>
    </xf>
    <xf numFmtId="0" fontId="21" fillId="0" borderId="30" xfId="93" applyFont="1" applyFill="1" applyBorder="1" applyAlignment="1">
      <alignment horizontal="center" vertical="center" wrapText="1"/>
      <protection/>
    </xf>
    <xf numFmtId="0" fontId="21" fillId="0" borderId="31" xfId="93" applyFont="1" applyFill="1" applyBorder="1" applyAlignment="1">
      <alignment horizontal="center" vertical="center"/>
      <protection/>
    </xf>
    <xf numFmtId="49" fontId="21" fillId="0" borderId="32" xfId="93" applyNumberFormat="1" applyFont="1" applyFill="1" applyBorder="1" applyAlignment="1">
      <alignment horizontal="center" vertical="center"/>
      <protection/>
    </xf>
    <xf numFmtId="49" fontId="21" fillId="0" borderId="30" xfId="93" applyNumberFormat="1" applyFont="1" applyFill="1" applyBorder="1" applyAlignment="1">
      <alignment horizontal="left" vertical="center" wrapText="1"/>
      <protection/>
    </xf>
    <xf numFmtId="49" fontId="21" fillId="0" borderId="30" xfId="93" applyNumberFormat="1" applyFont="1" applyFill="1" applyBorder="1" applyAlignment="1">
      <alignment horizontal="center" vertical="center"/>
      <protection/>
    </xf>
    <xf numFmtId="0" fontId="22" fillId="0" borderId="13" xfId="201" applyFont="1" applyFill="1" applyBorder="1" applyAlignment="1">
      <alignment horizontal="center" vertical="center"/>
      <protection/>
    </xf>
    <xf numFmtId="0" fontId="22" fillId="0" borderId="18" xfId="201" applyFont="1" applyFill="1" applyBorder="1" applyAlignment="1">
      <alignment horizontal="center" vertical="center"/>
      <protection/>
    </xf>
    <xf numFmtId="0" fontId="22" fillId="0" borderId="10" xfId="201" applyFont="1" applyFill="1" applyBorder="1" applyAlignment="1">
      <alignment horizontal="center" vertical="center"/>
      <protection/>
    </xf>
    <xf numFmtId="0" fontId="22" fillId="0" borderId="16" xfId="201" applyFont="1" applyFill="1" applyBorder="1" applyAlignment="1">
      <alignment horizontal="center" vertical="center"/>
      <protection/>
    </xf>
    <xf numFmtId="49" fontId="23" fillId="0" borderId="10" xfId="201" applyNumberFormat="1" applyFont="1" applyFill="1" applyBorder="1" applyAlignment="1">
      <alignment horizontal="left" vertical="center" wrapText="1"/>
      <protection/>
    </xf>
    <xf numFmtId="0" fontId="23" fillId="0" borderId="10" xfId="201" applyFont="1" applyFill="1" applyBorder="1" applyAlignment="1">
      <alignment horizontal="center" vertical="center"/>
      <protection/>
    </xf>
    <xf numFmtId="0" fontId="23" fillId="0" borderId="10" xfId="201" applyFont="1" applyFill="1" applyBorder="1" applyAlignment="1">
      <alignment horizontal="center" vertical="center"/>
      <protection/>
    </xf>
    <xf numFmtId="49" fontId="23" fillId="0" borderId="10" xfId="201" applyNumberFormat="1" applyFont="1" applyFill="1" applyBorder="1" applyAlignment="1">
      <alignment horizontal="center" vertical="center" wrapText="1"/>
      <protection/>
    </xf>
    <xf numFmtId="0" fontId="23" fillId="0" borderId="16" xfId="201" applyFont="1" applyFill="1" applyBorder="1" applyAlignment="1">
      <alignment horizontal="center" vertical="center"/>
      <protection/>
    </xf>
    <xf numFmtId="49" fontId="67" fillId="0" borderId="10" xfId="201" applyNumberFormat="1" applyFont="1" applyFill="1" applyBorder="1" applyAlignment="1">
      <alignment horizontal="left" vertical="center" wrapText="1"/>
      <protection/>
    </xf>
    <xf numFmtId="49" fontId="67" fillId="0" borderId="10" xfId="201" applyNumberFormat="1" applyFont="1" applyFill="1" applyBorder="1" applyAlignment="1">
      <alignment horizontal="center" vertical="center"/>
      <protection/>
    </xf>
    <xf numFmtId="49" fontId="22" fillId="0" borderId="10" xfId="201" applyNumberFormat="1" applyFont="1" applyFill="1" applyBorder="1" applyAlignment="1">
      <alignment horizontal="left" vertical="center" wrapText="1"/>
      <protection/>
    </xf>
    <xf numFmtId="49" fontId="22" fillId="0" borderId="10" xfId="201" applyNumberFormat="1" applyFont="1" applyFill="1" applyBorder="1" applyAlignment="1">
      <alignment horizontal="center" vertical="center"/>
      <protection/>
    </xf>
    <xf numFmtId="49" fontId="22" fillId="0" borderId="10" xfId="201" applyNumberFormat="1" applyFont="1" applyFill="1" applyBorder="1" applyAlignment="1">
      <alignment horizontal="center" vertical="center" wrapText="1"/>
      <protection/>
    </xf>
    <xf numFmtId="49" fontId="23" fillId="0" borderId="10" xfId="201" applyNumberFormat="1" applyFont="1" applyFill="1" applyBorder="1" applyAlignment="1">
      <alignment horizontal="left" vertical="center" wrapText="1"/>
      <protection/>
    </xf>
    <xf numFmtId="49" fontId="23" fillId="0" borderId="10" xfId="201" applyNumberFormat="1" applyFont="1" applyFill="1" applyBorder="1" applyAlignment="1">
      <alignment horizontal="center" vertical="center" wrapText="1"/>
      <protection/>
    </xf>
    <xf numFmtId="0" fontId="26" fillId="0" borderId="19" xfId="93" applyFont="1" applyFill="1" applyBorder="1" applyAlignment="1">
      <alignment horizontal="center" vertical="center"/>
      <protection/>
    </xf>
    <xf numFmtId="0" fontId="26" fillId="0" borderId="20" xfId="93" applyFont="1" applyFill="1" applyBorder="1" applyAlignment="1">
      <alignment horizontal="center" vertical="center"/>
      <protection/>
    </xf>
    <xf numFmtId="0" fontId="26" fillId="0" borderId="21" xfId="93" applyFont="1" applyFill="1" applyBorder="1" applyAlignment="1">
      <alignment horizontal="center" vertical="center"/>
      <protection/>
    </xf>
    <xf numFmtId="177" fontId="21" fillId="0" borderId="30" xfId="93" applyNumberFormat="1" applyFont="1" applyFill="1" applyBorder="1" applyAlignment="1">
      <alignment horizontal="center" vertical="center"/>
      <protection/>
    </xf>
    <xf numFmtId="0" fontId="0" fillId="0" borderId="30" xfId="89" applyFont="1" applyFill="1" applyBorder="1" applyAlignment="1">
      <alignment horizontal="center" vertical="center" wrapText="1"/>
      <protection/>
    </xf>
    <xf numFmtId="0" fontId="0" fillId="27" borderId="0" xfId="93" applyFont="1" applyFill="1" applyAlignment="1">
      <alignment horizontal="right" vertical="center"/>
      <protection/>
    </xf>
    <xf numFmtId="0" fontId="0" fillId="27" borderId="0" xfId="93" applyFont="1" applyFill="1" applyAlignment="1">
      <alignment horizontal="right"/>
      <protection/>
    </xf>
    <xf numFmtId="0" fontId="28" fillId="27" borderId="0" xfId="93" applyFont="1" applyFill="1" applyAlignment="1">
      <alignment horizontal="right"/>
      <protection/>
    </xf>
    <xf numFmtId="0" fontId="23" fillId="27" borderId="0" xfId="201" applyFont="1" applyFill="1" applyAlignment="1">
      <alignment horizontal="center" vertical="top"/>
      <protection/>
    </xf>
    <xf numFmtId="0" fontId="21" fillId="27" borderId="0" xfId="93" applyFont="1" applyFill="1" applyAlignment="1">
      <alignment horizontal="center" vertical="center"/>
      <protection/>
    </xf>
    <xf numFmtId="177" fontId="21" fillId="27" borderId="0" xfId="93" applyNumberFormat="1" applyFont="1" applyFill="1" applyBorder="1" applyAlignment="1">
      <alignment horizontal="center" vertical="center"/>
      <protection/>
    </xf>
    <xf numFmtId="0" fontId="21" fillId="27" borderId="0" xfId="93" applyFont="1" applyFill="1" applyAlignment="1">
      <alignment vertical="center"/>
      <protection/>
    </xf>
    <xf numFmtId="49" fontId="21" fillId="0" borderId="30" xfId="93" applyNumberFormat="1" applyFont="1" applyFill="1" applyBorder="1" applyAlignment="1">
      <alignment horizontal="left" vertical="center"/>
      <protection/>
    </xf>
    <xf numFmtId="0" fontId="23" fillId="0" borderId="12" xfId="201" applyFont="1" applyFill="1" applyBorder="1" applyAlignment="1">
      <alignment horizontal="left" vertical="center" wrapText="1"/>
      <protection/>
    </xf>
    <xf numFmtId="177" fontId="23" fillId="0" borderId="13" xfId="100" applyNumberFormat="1" applyFont="1" applyFill="1" applyBorder="1" applyAlignment="1">
      <alignment horizontal="center" vertical="center"/>
      <protection/>
    </xf>
    <xf numFmtId="0" fontId="0" fillId="0" borderId="0" xfId="0" applyFont="1" applyFill="1" applyBorder="1" applyAlignment="1">
      <alignment wrapText="1"/>
    </xf>
    <xf numFmtId="0" fontId="0" fillId="0" borderId="0" xfId="0" applyFont="1" applyFill="1" applyAlignment="1">
      <alignment wrapText="1"/>
    </xf>
    <xf numFmtId="177" fontId="0" fillId="27" borderId="10" xfId="0" applyNumberFormat="1" applyFont="1" applyFill="1" applyBorder="1" applyAlignment="1">
      <alignment horizontal="center" vertical="center" wrapText="1"/>
    </xf>
    <xf numFmtId="174" fontId="0" fillId="27" borderId="10" xfId="0" applyNumberFormat="1" applyFont="1" applyFill="1" applyBorder="1" applyAlignment="1">
      <alignment horizontal="center" vertical="center" wrapText="1"/>
    </xf>
    <xf numFmtId="177" fontId="0" fillId="27" borderId="23" xfId="0" applyNumberFormat="1" applyFont="1" applyFill="1" applyBorder="1" applyAlignment="1">
      <alignment horizontal="center" vertical="center" wrapText="1"/>
    </xf>
    <xf numFmtId="0" fontId="0" fillId="27" borderId="0" xfId="0" applyFont="1" applyFill="1" applyAlignment="1">
      <alignment/>
    </xf>
    <xf numFmtId="174" fontId="0" fillId="27" borderId="23" xfId="0" applyNumberFormat="1" applyFont="1" applyFill="1" applyBorder="1" applyAlignment="1">
      <alignment horizontal="center" vertical="center" wrapText="1"/>
    </xf>
    <xf numFmtId="174" fontId="0" fillId="27" borderId="0" xfId="0" applyNumberFormat="1" applyFont="1" applyFill="1" applyAlignment="1">
      <alignment/>
    </xf>
    <xf numFmtId="174" fontId="2" fillId="27" borderId="10" xfId="0" applyNumberFormat="1" applyFont="1" applyFill="1" applyBorder="1" applyAlignment="1">
      <alignment horizontal="center" vertical="center" wrapText="1"/>
    </xf>
    <xf numFmtId="177" fontId="2" fillId="27" borderId="10" xfId="0" applyNumberFormat="1" applyFont="1" applyFill="1" applyBorder="1" applyAlignment="1">
      <alignment horizontal="center" vertical="center" wrapText="1"/>
    </xf>
    <xf numFmtId="0" fontId="0" fillId="27" borderId="14" xfId="0" applyFont="1" applyFill="1" applyBorder="1" applyAlignment="1">
      <alignment horizontal="center" vertical="center" textRotation="90" wrapText="1"/>
    </xf>
    <xf numFmtId="0" fontId="0" fillId="27" borderId="20" xfId="0" applyFont="1" applyFill="1" applyBorder="1" applyAlignment="1">
      <alignment horizontal="center" vertical="center" wrapText="1"/>
    </xf>
    <xf numFmtId="177" fontId="2" fillId="27" borderId="13" xfId="0" applyNumberFormat="1" applyFont="1" applyFill="1" applyBorder="1" applyAlignment="1">
      <alignment horizontal="center" vertical="center" wrapText="1"/>
    </xf>
    <xf numFmtId="174" fontId="0" fillId="27" borderId="14" xfId="0" applyNumberFormat="1" applyFont="1" applyFill="1" applyBorder="1" applyAlignment="1">
      <alignment horizontal="center" vertical="center" textRotation="90" wrapText="1"/>
    </xf>
    <xf numFmtId="1" fontId="0" fillId="27" borderId="20" xfId="0" applyNumberFormat="1" applyFont="1" applyFill="1" applyBorder="1" applyAlignment="1">
      <alignment horizontal="center" vertical="center" wrapText="1"/>
    </xf>
    <xf numFmtId="0" fontId="28" fillId="0" borderId="0" xfId="0" applyFont="1" applyFill="1" applyAlignment="1">
      <alignment horizontal="center"/>
    </xf>
    <xf numFmtId="177" fontId="0" fillId="0" borderId="10" xfId="201" applyNumberFormat="1" applyFont="1" applyFill="1" applyBorder="1" applyAlignment="1">
      <alignment horizontal="center"/>
      <protection/>
    </xf>
    <xf numFmtId="177" fontId="23" fillId="0" borderId="10" xfId="201" applyNumberFormat="1" applyFont="1" applyFill="1" applyBorder="1" applyAlignment="1">
      <alignment horizontal="center"/>
      <protection/>
    </xf>
    <xf numFmtId="177" fontId="23" fillId="0" borderId="23" xfId="201" applyNumberFormat="1" applyFont="1" applyFill="1" applyBorder="1" applyAlignment="1">
      <alignment horizontal="center"/>
      <protection/>
    </xf>
    <xf numFmtId="177" fontId="23" fillId="0" borderId="0" xfId="201" applyNumberFormat="1" applyFont="1" applyFill="1" applyBorder="1" applyAlignment="1">
      <alignment horizontal="center"/>
      <protection/>
    </xf>
    <xf numFmtId="49" fontId="0" fillId="0" borderId="2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177" fontId="0" fillId="0" borderId="10" xfId="0" applyNumberFormat="1" applyFont="1" applyFill="1" applyBorder="1" applyAlignment="1">
      <alignment horizontal="right" vertical="center" wrapText="1"/>
    </xf>
    <xf numFmtId="177" fontId="0" fillId="0" borderId="23" xfId="0" applyNumberFormat="1" applyFont="1" applyFill="1" applyBorder="1" applyAlignment="1">
      <alignment horizontal="right" vertical="center" wrapText="1"/>
    </xf>
    <xf numFmtId="177" fontId="0" fillId="0" borderId="0" xfId="0" applyNumberFormat="1" applyFont="1" applyFill="1" applyBorder="1" applyAlignment="1">
      <alignment horizontal="center" vertical="center" wrapText="1"/>
    </xf>
    <xf numFmtId="186" fontId="0" fillId="0" borderId="10" xfId="0" applyNumberFormat="1" applyFont="1" applyFill="1" applyBorder="1" applyAlignment="1">
      <alignment horizontal="left" vertical="center" wrapText="1"/>
    </xf>
    <xf numFmtId="177" fontId="23" fillId="0" borderId="23" xfId="201" applyNumberFormat="1" applyFont="1" applyFill="1" applyBorder="1" applyAlignment="1">
      <alignment horizontal="center"/>
      <protection/>
    </xf>
    <xf numFmtId="0" fontId="28" fillId="0" borderId="0" xfId="93" applyFont="1" applyAlignment="1">
      <alignment horizontal="left"/>
      <protection/>
    </xf>
    <xf numFmtId="0" fontId="28" fillId="0" borderId="0" xfId="93" applyFont="1" applyAlignment="1">
      <alignment horizontal="center"/>
      <protection/>
    </xf>
    <xf numFmtId="174" fontId="0" fillId="0" borderId="10" xfId="0" applyNumberFormat="1" applyFont="1" applyFill="1" applyBorder="1" applyAlignment="1">
      <alignment horizontal="right" vertical="center" wrapText="1"/>
    </xf>
    <xf numFmtId="174" fontId="2" fillId="0" borderId="10" xfId="0" applyNumberFormat="1" applyFont="1" applyFill="1" applyBorder="1" applyAlignment="1">
      <alignment horizontal="right" vertical="center" wrapText="1"/>
    </xf>
    <xf numFmtId="174" fontId="0" fillId="0" borderId="23" xfId="0" applyNumberFormat="1" applyFont="1" applyFill="1" applyBorder="1" applyAlignment="1">
      <alignment horizontal="right" vertical="center" wrapText="1"/>
    </xf>
    <xf numFmtId="174" fontId="67" fillId="0" borderId="23" xfId="0" applyNumberFormat="1" applyFont="1" applyFill="1" applyBorder="1" applyAlignment="1">
      <alignment horizontal="right" vertical="center" wrapText="1"/>
    </xf>
    <xf numFmtId="177" fontId="69" fillId="0" borderId="10" xfId="0" applyNumberFormat="1" applyFont="1" applyFill="1" applyBorder="1" applyAlignment="1">
      <alignment horizontal="right" vertical="center" wrapText="1"/>
    </xf>
    <xf numFmtId="174" fontId="67" fillId="0" borderId="10" xfId="0" applyNumberFormat="1" applyFont="1" applyFill="1" applyBorder="1" applyAlignment="1">
      <alignment horizontal="right" vertical="center" wrapText="1"/>
    </xf>
    <xf numFmtId="0" fontId="0" fillId="0" borderId="14" xfId="0" applyFont="1" applyFill="1" applyBorder="1" applyAlignment="1">
      <alignment horizontal="center" vertical="center" wrapText="1"/>
    </xf>
    <xf numFmtId="0" fontId="2" fillId="0" borderId="0" xfId="236" applyFont="1" applyFill="1" applyBorder="1" applyAlignment="1">
      <alignment horizontal="center"/>
      <protection/>
    </xf>
    <xf numFmtId="0" fontId="0" fillId="0" borderId="14" xfId="93" applyFont="1" applyFill="1" applyBorder="1" applyAlignment="1">
      <alignment horizontal="center" vertical="center" textRotation="90" wrapText="1"/>
      <protection/>
    </xf>
    <xf numFmtId="177" fontId="2" fillId="0" borderId="13" xfId="0" applyNumberFormat="1" applyFont="1" applyFill="1" applyBorder="1" applyAlignment="1">
      <alignment horizontal="right" vertical="center" wrapText="1"/>
    </xf>
    <xf numFmtId="177" fontId="0" fillId="0" borderId="10" xfId="100" applyNumberFormat="1" applyFont="1" applyFill="1" applyBorder="1" applyAlignment="1">
      <alignment horizontal="center" vertical="center"/>
      <protection/>
    </xf>
    <xf numFmtId="177" fontId="2" fillId="0" borderId="10" xfId="100" applyNumberFormat="1" applyFont="1" applyFill="1" applyBorder="1" applyAlignment="1">
      <alignment horizontal="center" vertical="center"/>
      <protection/>
    </xf>
    <xf numFmtId="177" fontId="0" fillId="0" borderId="14" xfId="100" applyNumberFormat="1" applyFont="1" applyFill="1" applyBorder="1" applyAlignment="1">
      <alignment horizontal="center" vertical="center"/>
      <protection/>
    </xf>
    <xf numFmtId="177" fontId="67" fillId="0" borderId="23" xfId="100" applyNumberFormat="1" applyFont="1" applyFill="1" applyBorder="1" applyAlignment="1">
      <alignment horizontal="center" vertical="center"/>
      <protection/>
    </xf>
    <xf numFmtId="177" fontId="23" fillId="0" borderId="14" xfId="100" applyNumberFormat="1" applyFont="1" applyFill="1" applyBorder="1" applyAlignment="1">
      <alignment horizontal="right" vertical="center"/>
      <protection/>
    </xf>
    <xf numFmtId="177" fontId="22" fillId="0" borderId="10" xfId="100" applyNumberFormat="1" applyFont="1" applyFill="1" applyBorder="1" applyAlignment="1">
      <alignment horizontal="right" vertical="center"/>
      <protection/>
    </xf>
    <xf numFmtId="177" fontId="23" fillId="0" borderId="10" xfId="100" applyNumberFormat="1" applyFont="1" applyFill="1" applyBorder="1" applyAlignment="1">
      <alignment horizontal="right" vertical="center"/>
      <protection/>
    </xf>
    <xf numFmtId="177" fontId="67" fillId="0" borderId="10" xfId="100" applyNumberFormat="1" applyFont="1" applyFill="1" applyBorder="1" applyAlignment="1">
      <alignment horizontal="center" vertical="center"/>
      <protection/>
    </xf>
    <xf numFmtId="0" fontId="23" fillId="0" borderId="0" xfId="201" applyFont="1" applyFill="1" applyAlignment="1">
      <alignment horizontal="center" vertical="top"/>
      <protection/>
    </xf>
    <xf numFmtId="2" fontId="33" fillId="0" borderId="10" xfId="0" applyNumberFormat="1" applyFont="1" applyFill="1" applyBorder="1" applyAlignment="1">
      <alignment horizontal="center" vertical="center" wrapText="1"/>
    </xf>
    <xf numFmtId="2" fontId="55" fillId="0" borderId="12" xfId="0" applyNumberFormat="1" applyFont="1" applyFill="1" applyBorder="1" applyAlignment="1">
      <alignment horizontal="center" vertical="center" wrapText="1"/>
    </xf>
    <xf numFmtId="0" fontId="33" fillId="0" borderId="10" xfId="0" applyFont="1" applyFill="1" applyBorder="1" applyAlignment="1">
      <alignment horizontal="left" vertical="center" wrapText="1"/>
    </xf>
    <xf numFmtId="2" fontId="55" fillId="0" borderId="13" xfId="0" applyNumberFormat="1"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21" fillId="0" borderId="10" xfId="100" applyFont="1" applyFill="1" applyBorder="1" applyAlignment="1">
      <alignment horizontal="left" vertical="center"/>
      <protection/>
    </xf>
    <xf numFmtId="0" fontId="33" fillId="0" borderId="10" xfId="100" applyFont="1" applyFill="1" applyBorder="1" applyAlignment="1">
      <alignment horizontal="left" vertical="center"/>
      <protection/>
    </xf>
    <xf numFmtId="49" fontId="21" fillId="0" borderId="10" xfId="100" applyNumberFormat="1" applyFont="1" applyFill="1" applyBorder="1" applyAlignment="1">
      <alignment horizontal="center" vertical="center"/>
      <protection/>
    </xf>
    <xf numFmtId="49" fontId="21" fillId="0" borderId="15" xfId="100" applyNumberFormat="1" applyFont="1" applyFill="1" applyBorder="1" applyAlignment="1">
      <alignment horizontal="center" vertical="center"/>
      <protection/>
    </xf>
    <xf numFmtId="0" fontId="21" fillId="0" borderId="14" xfId="201" applyFont="1" applyBorder="1" applyAlignment="1">
      <alignment horizontal="center" vertical="center" wrapText="1"/>
      <protection/>
    </xf>
    <xf numFmtId="0" fontId="0" fillId="0" borderId="0" xfId="0" applyFont="1" applyAlignment="1">
      <alignment horizontal="center"/>
    </xf>
    <xf numFmtId="0" fontId="21" fillId="0" borderId="0" xfId="93" applyFont="1" applyAlignment="1">
      <alignment horizontal="left" vertical="center"/>
      <protection/>
    </xf>
    <xf numFmtId="49" fontId="53" fillId="0" borderId="10" xfId="93" applyNumberFormat="1" applyFont="1" applyFill="1" applyBorder="1" applyAlignment="1">
      <alignment horizontal="center" vertical="center"/>
      <protection/>
    </xf>
    <xf numFmtId="49" fontId="53" fillId="0" borderId="33" xfId="93" applyNumberFormat="1" applyFont="1" applyFill="1" applyBorder="1" applyAlignment="1">
      <alignment horizontal="center" vertical="center"/>
      <protection/>
    </xf>
    <xf numFmtId="49" fontId="53" fillId="0" borderId="15" xfId="93" applyNumberFormat="1" applyFont="1" applyFill="1" applyBorder="1" applyAlignment="1">
      <alignment horizontal="center" vertical="center"/>
      <protection/>
    </xf>
    <xf numFmtId="49" fontId="21" fillId="0" borderId="10" xfId="201" applyNumberFormat="1" applyFont="1" applyFill="1" applyBorder="1" applyAlignment="1">
      <alignment horizontal="center" vertical="center"/>
      <protection/>
    </xf>
    <xf numFmtId="0" fontId="21" fillId="0" borderId="17" xfId="201" applyFont="1" applyBorder="1" applyAlignment="1">
      <alignment horizontal="center" vertical="center" wrapText="1"/>
      <protection/>
    </xf>
    <xf numFmtId="177" fontId="21" fillId="0" borderId="0" xfId="93" applyNumberFormat="1" applyFont="1" applyFill="1" applyAlignment="1">
      <alignment vertical="center"/>
      <protection/>
    </xf>
    <xf numFmtId="177" fontId="23" fillId="0" borderId="0" xfId="201" applyNumberFormat="1" applyFont="1" applyFill="1" applyAlignment="1">
      <alignment horizontal="center" vertical="top"/>
      <protection/>
    </xf>
    <xf numFmtId="3" fontId="21" fillId="0" borderId="20" xfId="93" applyNumberFormat="1" applyFont="1" applyFill="1" applyBorder="1" applyAlignment="1">
      <alignment horizontal="center" vertical="center"/>
      <protection/>
    </xf>
    <xf numFmtId="177" fontId="55" fillId="0" borderId="10" xfId="93" applyNumberFormat="1" applyFont="1" applyFill="1" applyBorder="1" applyAlignment="1">
      <alignment horizontal="center" vertical="center"/>
      <protection/>
    </xf>
    <xf numFmtId="177" fontId="33" fillId="0" borderId="10" xfId="93" applyNumberFormat="1" applyFont="1" applyFill="1" applyBorder="1" applyAlignment="1">
      <alignment horizontal="center" vertical="center"/>
      <protection/>
    </xf>
    <xf numFmtId="0" fontId="33" fillId="0" borderId="12" xfId="0" applyFont="1" applyFill="1" applyBorder="1" applyAlignment="1">
      <alignment horizontal="center" vertical="center" textRotation="90" wrapText="1"/>
    </xf>
    <xf numFmtId="177" fontId="26" fillId="0" borderId="16" xfId="93" applyNumberFormat="1" applyFont="1" applyFill="1" applyBorder="1" applyAlignment="1">
      <alignment horizontal="center" vertical="center"/>
      <protection/>
    </xf>
    <xf numFmtId="177" fontId="21" fillId="0" borderId="16" xfId="93" applyNumberFormat="1" applyFont="1" applyFill="1" applyBorder="1" applyAlignment="1">
      <alignment horizontal="center" vertical="center"/>
      <protection/>
    </xf>
    <xf numFmtId="0" fontId="33" fillId="0" borderId="17" xfId="93" applyFont="1" applyFill="1" applyBorder="1" applyAlignment="1">
      <alignment horizontal="center" vertical="center" textRotation="90" wrapText="1"/>
      <protection/>
    </xf>
    <xf numFmtId="49" fontId="21" fillId="0" borderId="21" xfId="93" applyNumberFormat="1" applyFont="1" applyFill="1" applyBorder="1" applyAlignment="1">
      <alignment horizontal="center" vertical="center"/>
      <protection/>
    </xf>
    <xf numFmtId="177" fontId="21" fillId="0" borderId="31" xfId="93" applyNumberFormat="1" applyFont="1" applyFill="1" applyBorder="1" applyAlignment="1">
      <alignment horizontal="center" vertical="center"/>
      <protection/>
    </xf>
    <xf numFmtId="49" fontId="67" fillId="0" borderId="0" xfId="201" applyNumberFormat="1" applyFont="1" applyFill="1" applyBorder="1" applyAlignment="1">
      <alignment horizontal="center"/>
      <protection/>
    </xf>
    <xf numFmtId="0" fontId="28" fillId="0" borderId="0" xfId="93" applyFont="1" applyBorder="1" applyAlignment="1">
      <alignment horizontal="center"/>
      <protection/>
    </xf>
    <xf numFmtId="0" fontId="30" fillId="0" borderId="0" xfId="201" applyFont="1" applyAlignment="1">
      <alignment horizontal="center" vertical="center"/>
      <protection/>
    </xf>
    <xf numFmtId="0" fontId="29" fillId="0" borderId="0" xfId="201" applyFont="1" applyAlignment="1">
      <alignment horizontal="center" vertical="center"/>
      <protection/>
    </xf>
    <xf numFmtId="0" fontId="23" fillId="0" borderId="34" xfId="201" applyFont="1" applyBorder="1" applyAlignment="1">
      <alignment horizontal="center" vertical="center" textRotation="90" wrapText="1"/>
      <protection/>
    </xf>
    <xf numFmtId="0" fontId="23" fillId="0" borderId="35" xfId="201" applyFont="1" applyBorder="1" applyAlignment="1">
      <alignment horizontal="center" vertical="center" textRotation="90" wrapText="1"/>
      <protection/>
    </xf>
    <xf numFmtId="0" fontId="23" fillId="0" borderId="10" xfId="201" applyFont="1" applyBorder="1" applyAlignment="1">
      <alignment horizontal="center" vertical="center" textRotation="90" wrapText="1"/>
      <protection/>
    </xf>
    <xf numFmtId="0" fontId="23" fillId="0" borderId="36" xfId="201" applyFont="1" applyFill="1" applyBorder="1" applyAlignment="1">
      <alignment horizontal="center" vertical="center" wrapText="1"/>
      <protection/>
    </xf>
    <xf numFmtId="0" fontId="23" fillId="0" borderId="10" xfId="201" applyFont="1" applyFill="1" applyBorder="1" applyAlignment="1">
      <alignment horizontal="center" vertical="center" wrapText="1"/>
      <protection/>
    </xf>
    <xf numFmtId="0" fontId="23" fillId="0" borderId="14" xfId="201" applyFont="1" applyFill="1" applyBorder="1" applyAlignment="1">
      <alignment horizontal="center" vertical="center" wrapText="1"/>
      <protection/>
    </xf>
    <xf numFmtId="0" fontId="23" fillId="0" borderId="36" xfId="201" applyFont="1" applyBorder="1" applyAlignment="1">
      <alignment horizontal="center" vertical="center" wrapText="1"/>
      <protection/>
    </xf>
    <xf numFmtId="0" fontId="23" fillId="0" borderId="10" xfId="201" applyFont="1" applyBorder="1" applyAlignment="1">
      <alignment horizontal="center" vertical="center" wrapText="1"/>
      <protection/>
    </xf>
    <xf numFmtId="0" fontId="23" fillId="0" borderId="14" xfId="201" applyFont="1" applyBorder="1" applyAlignment="1">
      <alignment horizontal="center" vertical="center" wrapText="1"/>
      <protection/>
    </xf>
    <xf numFmtId="0" fontId="23" fillId="0" borderId="0" xfId="201" applyFont="1" applyAlignment="1">
      <alignment horizontal="center" vertical="top"/>
      <protection/>
    </xf>
    <xf numFmtId="0" fontId="23" fillId="0" borderId="10" xfId="201" applyFont="1" applyFill="1" applyBorder="1" applyAlignment="1">
      <alignment horizontal="center" vertical="center" textRotation="90" wrapText="1"/>
      <protection/>
    </xf>
    <xf numFmtId="0" fontId="28" fillId="0" borderId="0" xfId="93" applyFont="1" applyAlignment="1">
      <alignment horizontal="right" vertical="center"/>
      <protection/>
    </xf>
    <xf numFmtId="0" fontId="28" fillId="0" borderId="0" xfId="93" applyFont="1" applyAlignment="1">
      <alignment horizontal="right"/>
      <protection/>
    </xf>
    <xf numFmtId="0" fontId="23" fillId="0" borderId="10" xfId="201" applyFont="1" applyBorder="1" applyAlignment="1">
      <alignment horizontal="center" vertical="center" wrapText="1"/>
      <protection/>
    </xf>
    <xf numFmtId="0" fontId="23" fillId="0" borderId="16" xfId="201" applyFont="1" applyBorder="1" applyAlignment="1">
      <alignment horizontal="center" vertical="center" wrapText="1"/>
      <protection/>
    </xf>
    <xf numFmtId="0" fontId="23" fillId="0" borderId="36" xfId="201" applyFont="1" applyBorder="1" applyAlignment="1">
      <alignment horizontal="center" vertical="center" wrapText="1"/>
      <protection/>
    </xf>
    <xf numFmtId="0" fontId="23" fillId="0" borderId="37" xfId="201" applyFont="1" applyBorder="1" applyAlignment="1">
      <alignment horizontal="center" vertical="center" wrapText="1"/>
      <protection/>
    </xf>
    <xf numFmtId="49" fontId="23" fillId="0" borderId="28" xfId="201" applyNumberFormat="1" applyFont="1" applyBorder="1" applyAlignment="1">
      <alignment horizontal="center" vertical="center" textRotation="90" wrapText="1"/>
      <protection/>
    </xf>
    <xf numFmtId="49" fontId="23" fillId="0" borderId="38" xfId="201" applyNumberFormat="1" applyFont="1" applyBorder="1" applyAlignment="1">
      <alignment horizontal="center" vertical="center" textRotation="90" wrapText="1"/>
      <protection/>
    </xf>
    <xf numFmtId="49" fontId="23" fillId="0" borderId="32" xfId="201" applyNumberFormat="1" applyFont="1" applyBorder="1" applyAlignment="1">
      <alignment horizontal="center" vertical="center" textRotation="90" wrapText="1"/>
      <protection/>
    </xf>
    <xf numFmtId="0" fontId="23" fillId="0" borderId="10" xfId="201" applyFont="1" applyBorder="1" applyAlignment="1">
      <alignment horizontal="center" vertical="center" textRotation="90" wrapText="1"/>
      <protection/>
    </xf>
    <xf numFmtId="0" fontId="23" fillId="0" borderId="16" xfId="201" applyFont="1" applyBorder="1" applyAlignment="1">
      <alignment horizontal="center" vertical="center" textRotation="90" wrapText="1"/>
      <protection/>
    </xf>
    <xf numFmtId="0" fontId="30" fillId="0" borderId="0" xfId="201" applyFont="1" applyAlignment="1">
      <alignment horizontal="center"/>
      <protection/>
    </xf>
    <xf numFmtId="0" fontId="0" fillId="0" borderId="1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31" fillId="0" borderId="0" xfId="0" applyFont="1" applyFill="1" applyAlignment="1">
      <alignment horizontal="center" vertical="center"/>
    </xf>
    <xf numFmtId="0" fontId="28" fillId="0" borderId="0" xfId="0" applyFont="1" applyFill="1" applyAlignment="1">
      <alignment horizontal="center"/>
    </xf>
    <xf numFmtId="0" fontId="31" fillId="0" borderId="0" xfId="0" applyFont="1" applyFill="1" applyAlignment="1">
      <alignment horizontal="center"/>
    </xf>
    <xf numFmtId="0" fontId="0" fillId="0" borderId="0" xfId="0" applyFont="1" applyFill="1" applyAlignment="1">
      <alignment horizontal="center"/>
    </xf>
    <xf numFmtId="0" fontId="0" fillId="0" borderId="14" xfId="0" applyFont="1" applyFill="1" applyBorder="1" applyAlignment="1">
      <alignment horizontal="center" vertical="center" wrapText="1"/>
    </xf>
    <xf numFmtId="0" fontId="0" fillId="0" borderId="28" xfId="0" applyFont="1" applyFill="1" applyBorder="1" applyAlignment="1">
      <alignment horizontal="center" vertical="center" textRotation="90" wrapText="1"/>
    </xf>
    <xf numFmtId="0" fontId="0" fillId="0" borderId="38" xfId="0" applyFont="1" applyFill="1" applyBorder="1" applyAlignment="1">
      <alignment horizontal="center" vertical="center" textRotation="90" wrapText="1"/>
    </xf>
    <xf numFmtId="0" fontId="0" fillId="0" borderId="32" xfId="0" applyFont="1" applyFill="1" applyBorder="1" applyAlignment="1">
      <alignment horizontal="center" vertical="center" textRotation="90"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6" xfId="0" applyFont="1" applyFill="1" applyBorder="1" applyAlignment="1">
      <alignment horizontal="center" vertical="center" textRotation="90" wrapText="1"/>
    </xf>
    <xf numFmtId="0" fontId="0" fillId="0" borderId="10" xfId="0" applyFont="1" applyFill="1" applyBorder="1" applyAlignment="1">
      <alignment horizontal="center" vertical="center" textRotation="90" wrapText="1"/>
    </xf>
    <xf numFmtId="0" fontId="0" fillId="0" borderId="14" xfId="0" applyFont="1" applyFill="1" applyBorder="1" applyAlignment="1">
      <alignment horizontal="center" vertical="center" textRotation="90" wrapText="1"/>
    </xf>
    <xf numFmtId="0" fontId="0" fillId="0" borderId="25"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Alignment="1">
      <alignment/>
    </xf>
    <xf numFmtId="0" fontId="28" fillId="0" borderId="0" xfId="0" applyFont="1" applyFill="1" applyBorder="1" applyAlignment="1">
      <alignment horizontal="left" wrapText="1"/>
    </xf>
    <xf numFmtId="0" fontId="0" fillId="27" borderId="43" xfId="0" applyFont="1" applyFill="1" applyBorder="1" applyAlignment="1">
      <alignment horizontal="center" vertical="center" wrapText="1"/>
    </xf>
    <xf numFmtId="0" fontId="0" fillId="27" borderId="11" xfId="0" applyFont="1" applyFill="1" applyBorder="1" applyAlignment="1">
      <alignment horizontal="center" vertical="center" wrapText="1"/>
    </xf>
    <xf numFmtId="0" fontId="0" fillId="27" borderId="44" xfId="0" applyFont="1" applyFill="1" applyBorder="1" applyAlignment="1">
      <alignment horizontal="center" vertical="center" wrapText="1"/>
    </xf>
    <xf numFmtId="0" fontId="0" fillId="0" borderId="30" xfId="0" applyFont="1" applyFill="1" applyBorder="1" applyAlignment="1">
      <alignment horizontal="center" vertical="center" textRotation="90" wrapText="1"/>
    </xf>
    <xf numFmtId="0" fontId="0" fillId="0" borderId="0" xfId="0" applyFont="1" applyFill="1" applyBorder="1" applyAlignment="1">
      <alignment wrapText="1"/>
    </xf>
    <xf numFmtId="174" fontId="0" fillId="27" borderId="34" xfId="0" applyNumberFormat="1" applyFont="1" applyFill="1" applyBorder="1" applyAlignment="1">
      <alignment horizontal="center" vertical="center" wrapText="1"/>
    </xf>
    <xf numFmtId="174" fontId="0" fillId="27" borderId="39" xfId="0" applyNumberFormat="1" applyFont="1" applyFill="1" applyBorder="1" applyAlignment="1">
      <alignment horizontal="center" vertical="center" wrapText="1"/>
    </xf>
    <xf numFmtId="174" fontId="0" fillId="27" borderId="35" xfId="0" applyNumberFormat="1"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0" xfId="0" applyFont="1" applyFill="1" applyBorder="1" applyAlignment="1">
      <alignment horizontal="center" vertical="center"/>
    </xf>
    <xf numFmtId="1" fontId="2" fillId="0" borderId="0" xfId="0" applyNumberFormat="1" applyFont="1" applyFill="1" applyBorder="1" applyAlignment="1">
      <alignment horizontal="center" vertical="top"/>
    </xf>
    <xf numFmtId="0" fontId="0" fillId="0" borderId="0" xfId="0" applyFont="1" applyFill="1" applyBorder="1" applyAlignment="1">
      <alignment horizontal="left" wrapText="1"/>
    </xf>
    <xf numFmtId="0" fontId="2" fillId="0" borderId="0" xfId="236" applyFont="1" applyFill="1" applyBorder="1" applyAlignment="1">
      <alignment horizontal="center"/>
      <protection/>
    </xf>
    <xf numFmtId="0" fontId="23" fillId="0" borderId="28" xfId="100" applyFont="1" applyFill="1" applyBorder="1" applyAlignment="1">
      <alignment horizontal="center" vertical="center" textRotation="90" wrapText="1"/>
      <protection/>
    </xf>
    <xf numFmtId="0" fontId="23" fillId="0" borderId="38" xfId="100" applyFont="1" applyFill="1" applyBorder="1" applyAlignment="1">
      <alignment horizontal="center" vertical="center" textRotation="90" wrapText="1"/>
      <protection/>
    </xf>
    <xf numFmtId="0" fontId="23" fillId="0" borderId="32" xfId="100" applyFont="1" applyFill="1" applyBorder="1" applyAlignment="1">
      <alignment horizontal="center" vertical="center" textRotation="90" wrapText="1"/>
      <protection/>
    </xf>
    <xf numFmtId="0" fontId="23" fillId="0" borderId="25" xfId="100" applyFont="1" applyFill="1" applyBorder="1" applyAlignment="1">
      <alignment horizontal="center" vertical="center" wrapText="1"/>
      <protection/>
    </xf>
    <xf numFmtId="0" fontId="23" fillId="0" borderId="12" xfId="100" applyFont="1" applyFill="1" applyBorder="1" applyAlignment="1">
      <alignment horizontal="center" vertical="center" wrapText="1"/>
      <protection/>
    </xf>
    <xf numFmtId="0" fontId="23" fillId="0" borderId="34" xfId="100" applyFont="1" applyFill="1" applyBorder="1" applyAlignment="1">
      <alignment horizontal="center" vertical="center"/>
      <protection/>
    </xf>
    <xf numFmtId="0" fontId="23" fillId="0" borderId="39" xfId="100" applyFont="1" applyFill="1" applyBorder="1" applyAlignment="1">
      <alignment horizontal="center" vertical="center"/>
      <protection/>
    </xf>
    <xf numFmtId="0" fontId="23" fillId="0" borderId="10" xfId="100" applyFont="1" applyFill="1" applyBorder="1" applyAlignment="1">
      <alignment horizontal="center" vertical="center"/>
      <protection/>
    </xf>
    <xf numFmtId="0" fontId="23" fillId="0" borderId="10" xfId="100" applyFont="1" applyFill="1" applyBorder="1" applyAlignment="1">
      <alignment horizontal="center" vertical="center" wrapText="1"/>
      <protection/>
    </xf>
    <xf numFmtId="0" fontId="23" fillId="0" borderId="14" xfId="100" applyFont="1" applyFill="1" applyBorder="1" applyAlignment="1">
      <alignment horizontal="center" vertical="center" wrapText="1"/>
      <protection/>
    </xf>
    <xf numFmtId="0" fontId="23" fillId="0" borderId="26" xfId="100" applyFont="1" applyFill="1" applyBorder="1" applyAlignment="1">
      <alignment horizontal="center" vertical="center" wrapText="1"/>
      <protection/>
    </xf>
    <xf numFmtId="0" fontId="23" fillId="0" borderId="29" xfId="100" applyFont="1" applyFill="1" applyBorder="1" applyAlignment="1">
      <alignment horizontal="center" vertical="center" wrapText="1"/>
      <protection/>
    </xf>
    <xf numFmtId="0" fontId="23" fillId="0" borderId="34" xfId="100" applyFont="1" applyFill="1" applyBorder="1" applyAlignment="1">
      <alignment horizontal="center" vertical="center" wrapText="1"/>
      <protection/>
    </xf>
    <xf numFmtId="0" fontId="23" fillId="0" borderId="39" xfId="100" applyFont="1" applyFill="1" applyBorder="1" applyAlignment="1">
      <alignment horizontal="center" vertical="center" wrapText="1"/>
      <protection/>
    </xf>
    <xf numFmtId="0" fontId="23" fillId="0" borderId="35" xfId="100" applyFont="1" applyFill="1" applyBorder="1" applyAlignment="1">
      <alignment horizontal="center" vertical="center" wrapText="1"/>
      <protection/>
    </xf>
    <xf numFmtId="0" fontId="23" fillId="0" borderId="35" xfId="100" applyFont="1" applyFill="1" applyBorder="1" applyAlignment="1">
      <alignment horizontal="center" vertical="center"/>
      <protection/>
    </xf>
    <xf numFmtId="0" fontId="23" fillId="0" borderId="36" xfId="100" applyFont="1" applyFill="1" applyBorder="1" applyAlignment="1">
      <alignment horizontal="center" vertical="center"/>
      <protection/>
    </xf>
    <xf numFmtId="0" fontId="23" fillId="0" borderId="36" xfId="100" applyFont="1" applyFill="1" applyBorder="1" applyAlignment="1">
      <alignment horizontal="center" vertical="center" wrapText="1"/>
      <protection/>
    </xf>
    <xf numFmtId="0" fontId="23" fillId="0" borderId="40" xfId="100" applyFont="1" applyFill="1" applyBorder="1" applyAlignment="1">
      <alignment horizontal="center" vertical="center"/>
      <protection/>
    </xf>
    <xf numFmtId="0" fontId="23" fillId="0" borderId="41" xfId="100" applyFont="1" applyFill="1" applyBorder="1" applyAlignment="1">
      <alignment horizontal="center" vertical="center"/>
      <protection/>
    </xf>
    <xf numFmtId="0" fontId="23" fillId="0" borderId="42" xfId="100" applyFont="1" applyFill="1" applyBorder="1" applyAlignment="1">
      <alignment horizontal="center" vertical="center"/>
      <protection/>
    </xf>
    <xf numFmtId="0" fontId="23" fillId="0" borderId="43" xfId="100" applyFont="1" applyFill="1" applyBorder="1" applyAlignment="1">
      <alignment horizontal="center" vertical="center"/>
      <protection/>
    </xf>
    <xf numFmtId="0" fontId="23" fillId="0" borderId="11" xfId="100" applyFont="1" applyFill="1" applyBorder="1" applyAlignment="1">
      <alignment horizontal="center" vertical="center"/>
      <protection/>
    </xf>
    <xf numFmtId="0" fontId="23" fillId="0" borderId="44" xfId="100" applyFont="1" applyFill="1" applyBorder="1" applyAlignment="1">
      <alignment horizontal="center" vertical="center"/>
      <protection/>
    </xf>
    <xf numFmtId="0" fontId="22" fillId="0" borderId="0" xfId="98" applyFont="1" applyFill="1" applyBorder="1" applyAlignment="1">
      <alignment horizontal="center"/>
      <protection/>
    </xf>
    <xf numFmtId="0" fontId="2" fillId="0" borderId="0" xfId="0" applyFont="1" applyFill="1" applyAlignment="1">
      <alignment horizontal="center"/>
    </xf>
    <xf numFmtId="0" fontId="28" fillId="0" borderId="0" xfId="0" applyFont="1" applyFill="1" applyAlignment="1">
      <alignment horizontal="center" vertical="center"/>
    </xf>
    <xf numFmtId="0" fontId="60" fillId="0" borderId="0" xfId="0" applyFont="1" applyFill="1" applyAlignment="1">
      <alignment horizontal="center" vertical="center"/>
    </xf>
    <xf numFmtId="0" fontId="29" fillId="0" borderId="0" xfId="201" applyFont="1" applyFill="1" applyAlignment="1">
      <alignment horizontal="center" vertical="center"/>
      <protection/>
    </xf>
    <xf numFmtId="0" fontId="23" fillId="0" borderId="0" xfId="201" applyFont="1" applyFill="1" applyAlignment="1">
      <alignment horizontal="center" vertical="top"/>
      <protection/>
    </xf>
    <xf numFmtId="0" fontId="23" fillId="0" borderId="16" xfId="100" applyFont="1" applyFill="1" applyBorder="1" applyAlignment="1">
      <alignment horizontal="center" vertical="center" wrapText="1"/>
      <protection/>
    </xf>
    <xf numFmtId="0" fontId="30" fillId="0" borderId="0" xfId="98" applyFont="1" applyFill="1" applyBorder="1" applyAlignment="1">
      <alignment horizontal="center"/>
      <protection/>
    </xf>
    <xf numFmtId="0" fontId="23" fillId="0" borderId="37" xfId="100" applyFont="1" applyFill="1" applyBorder="1" applyAlignment="1">
      <alignment horizontal="center" vertical="center"/>
      <protection/>
    </xf>
    <xf numFmtId="0" fontId="23" fillId="0" borderId="40" xfId="100" applyFont="1" applyFill="1" applyBorder="1" applyAlignment="1">
      <alignment horizontal="center" vertical="center" wrapText="1"/>
      <protection/>
    </xf>
    <xf numFmtId="0" fontId="23" fillId="0" borderId="41" xfId="100" applyFont="1" applyFill="1" applyBorder="1" applyAlignment="1">
      <alignment horizontal="center" vertical="center" wrapText="1"/>
      <protection/>
    </xf>
    <xf numFmtId="0" fontId="23" fillId="0" borderId="42" xfId="100" applyFont="1" applyFill="1" applyBorder="1" applyAlignment="1">
      <alignment horizontal="center" vertical="center" wrapText="1"/>
      <protection/>
    </xf>
    <xf numFmtId="0" fontId="23" fillId="0" borderId="48" xfId="100" applyFont="1" applyFill="1" applyBorder="1" applyAlignment="1">
      <alignment horizontal="center" vertical="center" wrapText="1"/>
      <protection/>
    </xf>
    <xf numFmtId="0" fontId="23" fillId="0" borderId="0" xfId="100" applyFont="1" applyFill="1" applyBorder="1" applyAlignment="1">
      <alignment horizontal="center" vertical="center" wrapText="1"/>
      <protection/>
    </xf>
    <xf numFmtId="0" fontId="23" fillId="0" borderId="49" xfId="100" applyFont="1" applyFill="1" applyBorder="1" applyAlignment="1">
      <alignment horizontal="center" vertical="center" wrapText="1"/>
      <protection/>
    </xf>
    <xf numFmtId="0" fontId="23" fillId="0" borderId="43" xfId="100" applyFont="1" applyFill="1" applyBorder="1" applyAlignment="1">
      <alignment horizontal="center" vertical="center" wrapText="1"/>
      <protection/>
    </xf>
    <xf numFmtId="0" fontId="23" fillId="0" borderId="11" xfId="100" applyFont="1" applyFill="1" applyBorder="1" applyAlignment="1">
      <alignment horizontal="center" vertical="center" wrapText="1"/>
      <protection/>
    </xf>
    <xf numFmtId="0" fontId="23" fillId="0" borderId="44" xfId="100" applyFont="1" applyFill="1" applyBorder="1" applyAlignment="1">
      <alignment horizontal="center" vertical="center" wrapText="1"/>
      <protection/>
    </xf>
    <xf numFmtId="0" fontId="0" fillId="0" borderId="45" xfId="236" applyFont="1" applyFill="1" applyBorder="1" applyAlignment="1">
      <alignment horizontal="center" vertical="center" wrapText="1"/>
      <protection/>
    </xf>
    <xf numFmtId="0" fontId="0" fillId="0" borderId="46" xfId="236" applyFont="1" applyFill="1" applyBorder="1" applyAlignment="1">
      <alignment horizontal="center" vertical="center" wrapText="1"/>
      <protection/>
    </xf>
    <xf numFmtId="0" fontId="0" fillId="0" borderId="47" xfId="236" applyFont="1" applyFill="1" applyBorder="1" applyAlignment="1">
      <alignment horizontal="center" vertical="center" wrapText="1"/>
      <protection/>
    </xf>
    <xf numFmtId="0" fontId="22" fillId="0" borderId="0" xfId="98" applyFont="1" applyFill="1" applyBorder="1" applyAlignment="1">
      <alignment horizontal="center" wrapText="1"/>
      <protection/>
    </xf>
    <xf numFmtId="0" fontId="0" fillId="0" borderId="3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22" fillId="0" borderId="0" xfId="100" applyFont="1" applyFill="1" applyBorder="1" applyAlignment="1">
      <alignment horizontal="center" vertical="center"/>
      <protection/>
    </xf>
    <xf numFmtId="0" fontId="23" fillId="0" borderId="0" xfId="100" applyFont="1" applyFill="1" applyBorder="1" applyAlignment="1">
      <alignment horizontal="center" vertical="center"/>
      <protection/>
    </xf>
    <xf numFmtId="0" fontId="0" fillId="0" borderId="36" xfId="236" applyFont="1" applyFill="1" applyBorder="1" applyAlignment="1">
      <alignment horizontal="center" vertical="center"/>
      <protection/>
    </xf>
    <xf numFmtId="0" fontId="54" fillId="0" borderId="0" xfId="201" applyFont="1" applyAlignment="1">
      <alignment horizontal="center" vertical="center"/>
      <protection/>
    </xf>
    <xf numFmtId="0" fontId="53" fillId="0" borderId="0" xfId="201" applyFont="1" applyAlignment="1">
      <alignment horizontal="center" vertical="top"/>
      <protection/>
    </xf>
    <xf numFmtId="0" fontId="0" fillId="0" borderId="36" xfId="236" applyFont="1" applyFill="1" applyBorder="1" applyAlignment="1">
      <alignment horizontal="center"/>
      <protection/>
    </xf>
    <xf numFmtId="0" fontId="0" fillId="0" borderId="37" xfId="236" applyFont="1" applyFill="1" applyBorder="1" applyAlignment="1">
      <alignment horizontal="center"/>
      <protection/>
    </xf>
    <xf numFmtId="0" fontId="23" fillId="0" borderId="16" xfId="100" applyFont="1" applyFill="1" applyBorder="1" applyAlignment="1">
      <alignment horizontal="center" vertical="center"/>
      <protection/>
    </xf>
    <xf numFmtId="0" fontId="22" fillId="0" borderId="0" xfId="98" applyFont="1" applyFill="1" applyBorder="1" applyAlignment="1">
      <alignment horizontal="center" vertical="center"/>
      <protection/>
    </xf>
    <xf numFmtId="0" fontId="23" fillId="0" borderId="0" xfId="201" applyFont="1" applyAlignment="1">
      <alignment horizontal="center" vertical="center"/>
      <protection/>
    </xf>
    <xf numFmtId="0" fontId="0" fillId="0" borderId="0" xfId="0" applyFont="1" applyFill="1" applyAlignment="1">
      <alignment horizontal="center" vertical="center"/>
    </xf>
    <xf numFmtId="0" fontId="0" fillId="0" borderId="3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26" fillId="0" borderId="0" xfId="93" applyFont="1" applyFill="1" applyBorder="1" applyAlignment="1">
      <alignment horizontal="center"/>
      <protection/>
    </xf>
    <xf numFmtId="0" fontId="21" fillId="0" borderId="11" xfId="93" applyFont="1" applyFill="1" applyBorder="1">
      <alignment/>
      <protection/>
    </xf>
    <xf numFmtId="0" fontId="25" fillId="0" borderId="0" xfId="93" applyFont="1" applyAlignment="1">
      <alignment horizontal="center"/>
      <protection/>
    </xf>
    <xf numFmtId="0" fontId="21" fillId="0" borderId="0" xfId="93" applyFont="1" applyAlignment="1">
      <alignment horizontal="center"/>
      <protection/>
    </xf>
    <xf numFmtId="0" fontId="21" fillId="0" borderId="14" xfId="93" applyFont="1" applyFill="1" applyBorder="1" applyAlignment="1">
      <alignment horizontal="center" vertical="center" wrapText="1"/>
      <protection/>
    </xf>
    <xf numFmtId="0" fontId="21" fillId="0" borderId="12" xfId="93" applyFont="1" applyFill="1" applyBorder="1" applyAlignment="1">
      <alignment horizontal="center" vertical="center" wrapText="1"/>
      <protection/>
    </xf>
    <xf numFmtId="0" fontId="21" fillId="0" borderId="13" xfId="93" applyFont="1" applyFill="1" applyBorder="1" applyAlignment="1">
      <alignment horizontal="center" vertical="center" wrapText="1"/>
      <protection/>
    </xf>
    <xf numFmtId="0" fontId="21" fillId="0" borderId="10" xfId="93" applyFont="1" applyFill="1" applyBorder="1" applyAlignment="1">
      <alignment horizontal="center" vertical="center" wrapText="1"/>
      <protection/>
    </xf>
    <xf numFmtId="0" fontId="21" fillId="0" borderId="10" xfId="93" applyFont="1" applyBorder="1" applyAlignment="1">
      <alignment horizontal="center" vertical="center" wrapText="1"/>
      <protection/>
    </xf>
    <xf numFmtId="0" fontId="21" fillId="0" borderId="34" xfId="93" applyFont="1" applyFill="1" applyBorder="1" applyAlignment="1">
      <alignment horizontal="center" vertical="center" wrapText="1"/>
      <protection/>
    </xf>
    <xf numFmtId="0" fontId="21" fillId="0" borderId="39" xfId="93" applyFont="1" applyFill="1" applyBorder="1" applyAlignment="1">
      <alignment horizontal="center" vertical="center" wrapText="1"/>
      <protection/>
    </xf>
    <xf numFmtId="0" fontId="21" fillId="0" borderId="35" xfId="93" applyFont="1" applyFill="1" applyBorder="1" applyAlignment="1">
      <alignment horizontal="center" vertical="center" wrapText="1"/>
      <protection/>
    </xf>
    <xf numFmtId="0" fontId="0" fillId="0" borderId="10" xfId="236" applyFont="1" applyBorder="1" applyAlignment="1">
      <alignment horizontal="center" vertical="center" wrapText="1"/>
      <protection/>
    </xf>
    <xf numFmtId="0" fontId="33" fillId="0" borderId="34" xfId="93" applyFont="1" applyFill="1" applyBorder="1" applyAlignment="1">
      <alignment horizontal="center" vertical="center" wrapText="1"/>
      <protection/>
    </xf>
    <xf numFmtId="0" fontId="33" fillId="0" borderId="39" xfId="93" applyFont="1" applyFill="1" applyBorder="1" applyAlignment="1">
      <alignment horizontal="center" vertical="center" wrapText="1"/>
      <protection/>
    </xf>
    <xf numFmtId="0" fontId="33" fillId="0" borderId="35" xfId="93" applyFont="1" applyFill="1" applyBorder="1" applyAlignment="1">
      <alignment horizontal="center" vertical="center" wrapText="1"/>
      <protection/>
    </xf>
    <xf numFmtId="0" fontId="0" fillId="0" borderId="14" xfId="236" applyFont="1" applyBorder="1" applyAlignment="1">
      <alignment horizontal="center" vertical="center" wrapText="1"/>
      <protection/>
    </xf>
    <xf numFmtId="0" fontId="0" fillId="0" borderId="13" xfId="236" applyFont="1" applyBorder="1" applyAlignment="1">
      <alignment horizontal="center" vertical="center" wrapText="1"/>
      <protection/>
    </xf>
    <xf numFmtId="0" fontId="0" fillId="0" borderId="12" xfId="236" applyFont="1" applyBorder="1" applyAlignment="1">
      <alignment horizontal="center" vertical="center" wrapText="1"/>
      <protection/>
    </xf>
    <xf numFmtId="0" fontId="33" fillId="0" borderId="10" xfId="93" applyFont="1" applyFill="1" applyBorder="1" applyAlignment="1">
      <alignment horizontal="center" vertical="center" wrapText="1"/>
      <protection/>
    </xf>
    <xf numFmtId="0" fontId="21" fillId="0" borderId="10" xfId="93" applyFont="1" applyBorder="1" applyAlignment="1">
      <alignment horizontal="center" vertical="center"/>
      <protection/>
    </xf>
    <xf numFmtId="0" fontId="33" fillId="0" borderId="14" xfId="93" applyFont="1" applyFill="1" applyBorder="1" applyAlignment="1">
      <alignment horizontal="center" vertical="center" wrapText="1"/>
      <protection/>
    </xf>
    <xf numFmtId="0" fontId="33" fillId="0" borderId="12" xfId="93" applyFont="1" applyFill="1" applyBorder="1" applyAlignment="1">
      <alignment horizontal="center" vertical="center" wrapText="1"/>
      <protection/>
    </xf>
    <xf numFmtId="0" fontId="33" fillId="0" borderId="13" xfId="93" applyFont="1" applyFill="1" applyBorder="1" applyAlignment="1">
      <alignment horizontal="center" vertical="center" wrapText="1"/>
      <protection/>
    </xf>
    <xf numFmtId="0" fontId="0" fillId="0" borderId="50" xfId="236" applyFont="1" applyFill="1" applyBorder="1" applyAlignment="1">
      <alignment horizontal="center" vertical="center" wrapText="1"/>
      <protection/>
    </xf>
    <xf numFmtId="0" fontId="0" fillId="0" borderId="51" xfId="236" applyFont="1" applyFill="1" applyBorder="1" applyAlignment="1">
      <alignment horizontal="center" vertical="center" wrapText="1"/>
      <protection/>
    </xf>
    <xf numFmtId="0" fontId="0" fillId="0" borderId="43" xfId="236" applyFont="1" applyFill="1" applyBorder="1" applyAlignment="1">
      <alignment horizontal="center" vertical="center" wrapText="1"/>
      <protection/>
    </xf>
    <xf numFmtId="0" fontId="0" fillId="0" borderId="44" xfId="236" applyFont="1" applyFill="1" applyBorder="1" applyAlignment="1">
      <alignment horizontal="center" vertical="center" wrapText="1"/>
      <protection/>
    </xf>
    <xf numFmtId="49" fontId="23" fillId="0" borderId="10"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0" fontId="33" fillId="0" borderId="0" xfId="0" applyFont="1" applyFill="1" applyAlignment="1">
      <alignment horizontal="center"/>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201" applyFont="1" applyFill="1" applyAlignment="1">
      <alignment horizontal="center" vertical="center"/>
      <protection/>
    </xf>
    <xf numFmtId="0" fontId="21" fillId="0" borderId="0" xfId="201" applyFont="1" applyFill="1" applyAlignment="1">
      <alignment horizontal="center" vertical="top"/>
      <protection/>
    </xf>
    <xf numFmtId="0" fontId="21" fillId="0" borderId="0" xfId="93" applyFont="1" applyFill="1" applyAlignment="1">
      <alignment horizontal="center"/>
      <protection/>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21" fillId="0" borderId="0" xfId="93" applyFont="1" applyFill="1" applyAlignment="1">
      <alignment horizontal="left" vertical="center" wrapText="1"/>
      <protection/>
    </xf>
    <xf numFmtId="0" fontId="25" fillId="0" borderId="0" xfId="93" applyFont="1" applyAlignment="1">
      <alignment horizontal="center" wrapText="1"/>
      <protection/>
    </xf>
    <xf numFmtId="0" fontId="21" fillId="0" borderId="0" xfId="201" applyFont="1" applyAlignment="1">
      <alignment horizontal="center" vertical="top"/>
      <protection/>
    </xf>
    <xf numFmtId="0" fontId="23" fillId="0" borderId="16" xfId="201" applyFont="1" applyBorder="1" applyAlignment="1">
      <alignment horizontal="center" vertical="center" wrapText="1"/>
      <protection/>
    </xf>
    <xf numFmtId="0" fontId="0" fillId="0" borderId="25" xfId="236" applyFont="1" applyBorder="1" applyAlignment="1">
      <alignment horizontal="center" vertical="center" wrapText="1"/>
      <protection/>
    </xf>
    <xf numFmtId="0" fontId="23" fillId="0" borderId="12" xfId="201" applyFont="1" applyBorder="1" applyAlignment="1">
      <alignment horizontal="center" vertical="center" wrapText="1"/>
      <protection/>
    </xf>
    <xf numFmtId="0" fontId="21" fillId="0" borderId="25" xfId="93" applyFont="1" applyFill="1" applyBorder="1" applyAlignment="1">
      <alignment horizontal="center" vertical="center" wrapText="1"/>
      <protection/>
    </xf>
    <xf numFmtId="0" fontId="0" fillId="0" borderId="36" xfId="236" applyFont="1" applyBorder="1" applyAlignment="1">
      <alignment horizontal="center" vertical="center" wrapText="1"/>
      <protection/>
    </xf>
    <xf numFmtId="0" fontId="23" fillId="0" borderId="36" xfId="201" applyFont="1" applyBorder="1" applyAlignment="1">
      <alignment horizontal="center" vertical="center" textRotation="90" wrapText="1"/>
      <protection/>
    </xf>
    <xf numFmtId="0" fontId="23" fillId="0" borderId="14" xfId="201" applyFont="1" applyBorder="1" applyAlignment="1">
      <alignment horizontal="center" vertical="center" textRotation="90" wrapText="1"/>
      <protection/>
    </xf>
    <xf numFmtId="0" fontId="23" fillId="0" borderId="25" xfId="201" applyFont="1" applyBorder="1" applyAlignment="1">
      <alignment horizontal="center" vertical="center" textRotation="90" wrapText="1"/>
      <protection/>
    </xf>
    <xf numFmtId="0" fontId="23" fillId="0" borderId="12" xfId="201" applyFont="1" applyBorder="1" applyAlignment="1">
      <alignment horizontal="center" vertical="center" textRotation="90" wrapText="1"/>
      <protection/>
    </xf>
    <xf numFmtId="0" fontId="0" fillId="0" borderId="36" xfId="236" applyFont="1" applyBorder="1" applyAlignment="1">
      <alignment horizontal="center" vertical="center" textRotation="90" wrapText="1"/>
      <protection/>
    </xf>
    <xf numFmtId="0" fontId="0" fillId="0" borderId="10" xfId="236" applyFont="1" applyBorder="1" applyAlignment="1">
      <alignment horizontal="center" vertical="center" textRotation="90" wrapText="1"/>
      <protection/>
    </xf>
    <xf numFmtId="0" fontId="0" fillId="0" borderId="14" xfId="236" applyFont="1" applyBorder="1" applyAlignment="1">
      <alignment horizontal="center" vertical="center" textRotation="90" wrapText="1"/>
      <protection/>
    </xf>
    <xf numFmtId="0" fontId="37" fillId="0" borderId="0" xfId="201" applyFont="1" applyAlignment="1">
      <alignment horizontal="center" vertical="center"/>
      <protection/>
    </xf>
    <xf numFmtId="0" fontId="31" fillId="0" borderId="0" xfId="236" applyFont="1" applyBorder="1" applyAlignment="1">
      <alignment horizontal="center" vertical="center"/>
      <protection/>
    </xf>
    <xf numFmtId="0" fontId="21" fillId="0" borderId="40" xfId="93" applyFont="1" applyFill="1" applyBorder="1" applyAlignment="1">
      <alignment horizontal="center" vertical="center" wrapText="1"/>
      <protection/>
    </xf>
    <xf numFmtId="0" fontId="21" fillId="0" borderId="42" xfId="93" applyFont="1" applyFill="1" applyBorder="1" applyAlignment="1">
      <alignment horizontal="center" vertical="center" wrapText="1"/>
      <protection/>
    </xf>
    <xf numFmtId="0" fontId="21" fillId="0" borderId="43" xfId="93" applyFont="1" applyFill="1" applyBorder="1" applyAlignment="1">
      <alignment horizontal="center" vertical="center" wrapText="1"/>
      <protection/>
    </xf>
    <xf numFmtId="0" fontId="21" fillId="0" borderId="44" xfId="93" applyFont="1" applyFill="1" applyBorder="1" applyAlignment="1">
      <alignment horizontal="center" vertical="center" wrapText="1"/>
      <protection/>
    </xf>
    <xf numFmtId="0" fontId="21" fillId="0" borderId="36" xfId="93" applyFont="1" applyFill="1" applyBorder="1" applyAlignment="1">
      <alignment horizontal="center" vertical="center" wrapText="1"/>
      <protection/>
    </xf>
    <xf numFmtId="0" fontId="33" fillId="0" borderId="36" xfId="93" applyFont="1" applyFill="1" applyBorder="1" applyAlignment="1">
      <alignment horizontal="center" vertical="center" wrapText="1"/>
      <protection/>
    </xf>
    <xf numFmtId="0" fontId="23" fillId="0" borderId="28" xfId="201" applyFont="1" applyBorder="1" applyAlignment="1">
      <alignment horizontal="center" vertical="center" textRotation="90" wrapText="1"/>
      <protection/>
    </xf>
    <xf numFmtId="0" fontId="23" fillId="0" borderId="38" xfId="201" applyFont="1" applyBorder="1" applyAlignment="1">
      <alignment horizontal="center" vertical="center" textRotation="90" wrapText="1"/>
      <protection/>
    </xf>
    <xf numFmtId="0" fontId="23" fillId="0" borderId="36" xfId="201" applyFont="1" applyBorder="1" applyAlignment="1">
      <alignment horizontal="center" vertical="center" textRotation="90" wrapText="1"/>
      <protection/>
    </xf>
    <xf numFmtId="0" fontId="21" fillId="0" borderId="36" xfId="201" applyFont="1" applyBorder="1" applyAlignment="1">
      <alignment horizontal="center" vertical="center" wrapText="1"/>
      <protection/>
    </xf>
    <xf numFmtId="0" fontId="21" fillId="0" borderId="37" xfId="201" applyFont="1" applyBorder="1" applyAlignment="1">
      <alignment horizontal="center" vertical="center" wrapText="1"/>
      <protection/>
    </xf>
    <xf numFmtId="0" fontId="33" fillId="0" borderId="40" xfId="93" applyFont="1" applyFill="1" applyBorder="1" applyAlignment="1">
      <alignment horizontal="center" vertical="center" wrapText="1"/>
      <protection/>
    </xf>
    <xf numFmtId="0" fontId="33" fillId="0" borderId="48" xfId="93" applyFont="1" applyFill="1" applyBorder="1" applyAlignment="1">
      <alignment horizontal="center" vertical="center" wrapText="1"/>
      <protection/>
    </xf>
    <xf numFmtId="0" fontId="21" fillId="0" borderId="28" xfId="93" applyFont="1" applyFill="1" applyBorder="1" applyAlignment="1">
      <alignment horizontal="center" vertical="center" textRotation="90" wrapText="1"/>
      <protection/>
    </xf>
    <xf numFmtId="0" fontId="21" fillId="0" borderId="38" xfId="93" applyFont="1" applyFill="1" applyBorder="1" applyAlignment="1">
      <alignment horizontal="center" vertical="center" textRotation="90" wrapText="1"/>
      <protection/>
    </xf>
    <xf numFmtId="0" fontId="33" fillId="0" borderId="37" xfId="93" applyFont="1" applyFill="1" applyBorder="1" applyAlignment="1">
      <alignment horizontal="center" vertical="center" wrapText="1"/>
      <protection/>
    </xf>
    <xf numFmtId="0" fontId="33" fillId="0" borderId="40"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6" xfId="93" applyFont="1" applyFill="1" applyBorder="1" applyAlignment="1">
      <alignment horizontal="center" vertical="center" wrapText="1"/>
      <protection/>
    </xf>
    <xf numFmtId="0" fontId="21" fillId="0" borderId="32" xfId="93" applyFont="1" applyFill="1" applyBorder="1" applyAlignment="1">
      <alignment horizontal="center" vertical="center" textRotation="90" wrapText="1"/>
      <protection/>
    </xf>
    <xf numFmtId="177" fontId="33" fillId="0" borderId="36" xfId="0" applyNumberFormat="1" applyFont="1" applyFill="1" applyBorder="1" applyAlignment="1">
      <alignment horizontal="center" vertical="center" wrapText="1"/>
    </xf>
    <xf numFmtId="177" fontId="33" fillId="0" borderId="10" xfId="0" applyNumberFormat="1" applyFont="1" applyFill="1" applyBorder="1" applyAlignment="1">
      <alignment horizontal="center" vertical="center" wrapText="1"/>
    </xf>
    <xf numFmtId="177" fontId="33" fillId="0" borderId="14" xfId="0" applyNumberFormat="1" applyFont="1" applyFill="1" applyBorder="1" applyAlignment="1">
      <alignment horizontal="center" vertical="center" wrapText="1"/>
    </xf>
    <xf numFmtId="0" fontId="0" fillId="0" borderId="0" xfId="93" applyFont="1" applyFill="1" applyAlignment="1">
      <alignment horizontal="center"/>
      <protection/>
    </xf>
    <xf numFmtId="0" fontId="26" fillId="0" borderId="11" xfId="93" applyFont="1" applyFill="1" applyBorder="1" applyAlignment="1">
      <alignment horizontal="center"/>
      <protection/>
    </xf>
    <xf numFmtId="0" fontId="21" fillId="0" borderId="14" xfId="93" applyFont="1" applyBorder="1" applyAlignment="1">
      <alignment horizontal="center" vertical="center" wrapText="1"/>
      <protection/>
    </xf>
    <xf numFmtId="0" fontId="21" fillId="0" borderId="13" xfId="93" applyFont="1" applyBorder="1" applyAlignment="1">
      <alignment horizontal="center" vertical="center" wrapText="1"/>
      <protection/>
    </xf>
    <xf numFmtId="0" fontId="21" fillId="0" borderId="34" xfId="93" applyFont="1" applyBorder="1" applyAlignment="1">
      <alignment horizontal="center" vertical="center" wrapText="1"/>
      <protection/>
    </xf>
    <xf numFmtId="0" fontId="21" fillId="0" borderId="39" xfId="93" applyFont="1" applyBorder="1" applyAlignment="1">
      <alignment horizontal="center" vertical="center" wrapText="1"/>
      <protection/>
    </xf>
    <xf numFmtId="0" fontId="21" fillId="0" borderId="35" xfId="93" applyFont="1" applyBorder="1" applyAlignment="1">
      <alignment horizontal="center" vertical="center" wrapText="1"/>
      <protection/>
    </xf>
    <xf numFmtId="0" fontId="33" fillId="0" borderId="14" xfId="236" applyFont="1" applyBorder="1" applyAlignment="1">
      <alignment horizontal="center" vertical="center" wrapText="1"/>
      <protection/>
    </xf>
    <xf numFmtId="0" fontId="33" fillId="0" borderId="12" xfId="236" applyFont="1" applyBorder="1" applyAlignment="1">
      <alignment horizontal="center" vertical="center" wrapText="1"/>
      <protection/>
    </xf>
    <xf numFmtId="0" fontId="33" fillId="0" borderId="13" xfId="236" applyFont="1" applyBorder="1" applyAlignment="1">
      <alignment horizontal="center" vertical="center" wrapText="1"/>
      <protection/>
    </xf>
    <xf numFmtId="0" fontId="31" fillId="0" borderId="11" xfId="236" applyFont="1" applyBorder="1" applyAlignment="1">
      <alignment horizontal="center" vertical="center"/>
      <protection/>
    </xf>
    <xf numFmtId="0" fontId="21" fillId="0" borderId="14" xfId="201" applyFont="1" applyBorder="1" applyAlignment="1">
      <alignment horizontal="center" vertical="center" wrapText="1"/>
      <protection/>
    </xf>
    <xf numFmtId="0" fontId="21" fillId="0" borderId="12" xfId="201" applyFont="1" applyBorder="1" applyAlignment="1">
      <alignment horizontal="center" vertical="center" wrapText="1"/>
      <protection/>
    </xf>
    <xf numFmtId="0" fontId="21" fillId="0" borderId="13" xfId="201" applyFont="1" applyBorder="1" applyAlignment="1">
      <alignment horizontal="center" vertical="center" wrapText="1"/>
      <protection/>
    </xf>
    <xf numFmtId="0" fontId="21" fillId="0" borderId="10" xfId="201" applyFont="1" applyBorder="1" applyAlignment="1">
      <alignment horizontal="center" vertical="center" wrapText="1"/>
      <protection/>
    </xf>
    <xf numFmtId="0" fontId="21" fillId="0" borderId="50" xfId="201" applyFont="1" applyBorder="1" applyAlignment="1">
      <alignment horizontal="center" vertical="center" wrapText="1"/>
      <protection/>
    </xf>
    <xf numFmtId="0" fontId="21" fillId="0" borderId="51" xfId="201" applyFont="1" applyBorder="1" applyAlignment="1">
      <alignment horizontal="center" vertical="center" wrapText="1"/>
      <protection/>
    </xf>
    <xf numFmtId="0" fontId="21" fillId="0" borderId="48" xfId="201" applyFont="1" applyBorder="1" applyAlignment="1">
      <alignment horizontal="center" vertical="center" wrapText="1"/>
      <protection/>
    </xf>
    <xf numFmtId="0" fontId="21" fillId="0" borderId="49" xfId="201" applyFont="1" applyBorder="1" applyAlignment="1">
      <alignment horizontal="center" vertical="center" wrapText="1"/>
      <protection/>
    </xf>
    <xf numFmtId="0" fontId="2" fillId="0" borderId="0" xfId="93" applyFont="1" applyFill="1" applyAlignment="1">
      <alignment horizontal="center" vertical="center"/>
      <protection/>
    </xf>
    <xf numFmtId="0" fontId="0" fillId="0" borderId="0" xfId="93" applyFont="1" applyFill="1" applyAlignment="1">
      <alignment horizontal="center" vertical="center"/>
      <protection/>
    </xf>
    <xf numFmtId="0" fontId="33" fillId="0" borderId="10" xfId="236" applyFont="1" applyBorder="1" applyAlignment="1">
      <alignment horizontal="center" vertical="center" wrapText="1"/>
      <protection/>
    </xf>
    <xf numFmtId="0" fontId="21" fillId="0" borderId="36" xfId="93" applyFont="1" applyBorder="1" applyAlignment="1">
      <alignment horizontal="center" vertical="center" wrapText="1"/>
      <protection/>
    </xf>
    <xf numFmtId="0" fontId="21" fillId="0" borderId="52" xfId="134" applyFont="1" applyFill="1" applyBorder="1" applyAlignment="1">
      <alignment horizontal="center" vertical="center" wrapText="1"/>
      <protection/>
    </xf>
    <xf numFmtId="0" fontId="21" fillId="0" borderId="33" xfId="134" applyFont="1" applyFill="1" applyBorder="1" applyAlignment="1">
      <alignment horizontal="center" vertical="center" wrapText="1"/>
      <protection/>
    </xf>
    <xf numFmtId="0" fontId="0" fillId="0" borderId="0" xfId="93" applyFont="1" applyAlignment="1">
      <alignment horizontal="right" vertical="center"/>
      <protection/>
    </xf>
    <xf numFmtId="0" fontId="0" fillId="0" borderId="0" xfId="93" applyFont="1" applyAlignment="1">
      <alignment horizontal="right"/>
      <protection/>
    </xf>
    <xf numFmtId="0" fontId="21" fillId="0" borderId="45" xfId="93" applyFont="1" applyBorder="1" applyAlignment="1">
      <alignment horizontal="center" vertical="center" wrapText="1"/>
      <protection/>
    </xf>
    <xf numFmtId="0" fontId="21" fillId="0" borderId="46" xfId="93" applyFont="1" applyBorder="1" applyAlignment="1">
      <alignment horizontal="center" vertical="center" wrapText="1"/>
      <protection/>
    </xf>
    <xf numFmtId="0" fontId="21" fillId="0" borderId="53" xfId="93" applyFont="1" applyBorder="1" applyAlignment="1">
      <alignment horizontal="center" vertical="center" wrapText="1"/>
      <protection/>
    </xf>
    <xf numFmtId="0" fontId="22" fillId="0" borderId="0" xfId="93" applyFont="1" applyAlignment="1">
      <alignment horizontal="center" wrapText="1"/>
      <protection/>
    </xf>
    <xf numFmtId="0" fontId="23" fillId="0" borderId="10" xfId="100" applyFont="1" applyBorder="1" applyAlignment="1">
      <alignment horizontal="center" vertical="center"/>
      <protection/>
    </xf>
    <xf numFmtId="0" fontId="0" fillId="0" borderId="10" xfId="0" applyFont="1" applyBorder="1" applyAlignment="1">
      <alignment horizontal="center" vertical="center" wrapText="1"/>
    </xf>
    <xf numFmtId="0" fontId="22" fillId="0" borderId="0" xfId="98" applyFont="1" applyFill="1" applyBorder="1" applyAlignment="1">
      <alignment horizontal="center" vertical="center" wrapText="1"/>
      <protection/>
    </xf>
    <xf numFmtId="0" fontId="31" fillId="0" borderId="0" xfId="94" applyFont="1" applyAlignment="1">
      <alignment horizontal="center" vertical="center" wrapText="1"/>
      <protection/>
    </xf>
  </cellXfs>
  <cellStyles count="28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1" xfId="89"/>
    <cellStyle name="Обычный 12 2" xfId="90"/>
    <cellStyle name="Обычный 2" xfId="91"/>
    <cellStyle name="Обычный 2 26 2" xfId="92"/>
    <cellStyle name="Обычный 3" xfId="93"/>
    <cellStyle name="Обычный 3 2" xfId="94"/>
    <cellStyle name="Обычный 3 2 2" xfId="95"/>
    <cellStyle name="Обычный 3 2 2 2" xfId="96"/>
    <cellStyle name="Обычный 3 21" xfId="97"/>
    <cellStyle name="Обычный 4" xfId="98"/>
    <cellStyle name="Обычный 4 2" xfId="99"/>
    <cellStyle name="Обычный 5" xfId="100"/>
    <cellStyle name="Обычный 6" xfId="101"/>
    <cellStyle name="Обычный 6 2" xfId="102"/>
    <cellStyle name="Обычный 6 2 2" xfId="103"/>
    <cellStyle name="Обычный 6 2 2 2" xfId="104"/>
    <cellStyle name="Обычный 6 2 2 2 2" xfId="105"/>
    <cellStyle name="Обычный 6 2 2 2 2 2" xfId="106"/>
    <cellStyle name="Обычный 6 2 2 2 2 2 2" xfId="107"/>
    <cellStyle name="Обычный 6 2 2 2 2 2 3" xfId="108"/>
    <cellStyle name="Обычный 6 2 2 2 2 3" xfId="109"/>
    <cellStyle name="Обычный 6 2 2 2 2 4" xfId="110"/>
    <cellStyle name="Обычный 6 2 2 2 3" xfId="111"/>
    <cellStyle name="Обычный 6 2 2 2 3 2" xfId="112"/>
    <cellStyle name="Обычный 6 2 2 2 3 3" xfId="113"/>
    <cellStyle name="Обычный 6 2 2 2 4" xfId="114"/>
    <cellStyle name="Обычный 6 2 2 2 5" xfId="115"/>
    <cellStyle name="Обычный 6 2 2 3" xfId="116"/>
    <cellStyle name="Обычный 6 2 2 3 2" xfId="117"/>
    <cellStyle name="Обычный 6 2 2 3 2 2" xfId="118"/>
    <cellStyle name="Обычный 6 2 2 3 2 3" xfId="119"/>
    <cellStyle name="Обычный 6 2 2 3 3" xfId="120"/>
    <cellStyle name="Обычный 6 2 2 3 4" xfId="121"/>
    <cellStyle name="Обычный 6 2 2 4" xfId="122"/>
    <cellStyle name="Обычный 6 2 2 4 2" xfId="123"/>
    <cellStyle name="Обычный 6 2 2 4 2 2" xfId="124"/>
    <cellStyle name="Обычный 6 2 2 4 2 3" xfId="125"/>
    <cellStyle name="Обычный 6 2 2 4 3" xfId="126"/>
    <cellStyle name="Обычный 6 2 2 4 4" xfId="127"/>
    <cellStyle name="Обычный 6 2 2 5" xfId="128"/>
    <cellStyle name="Обычный 6 2 2 5 2" xfId="129"/>
    <cellStyle name="Обычный 6 2 2 5 3" xfId="130"/>
    <cellStyle name="Обычный 6 2 2 6" xfId="131"/>
    <cellStyle name="Обычный 6 2 2 7" xfId="132"/>
    <cellStyle name="Обычный 6 2 2 8" xfId="133"/>
    <cellStyle name="Обычный 6 2 3" xfId="134"/>
    <cellStyle name="Обычный 6 2 3 2" xfId="135"/>
    <cellStyle name="Обычный 6 2 3 2 2" xfId="136"/>
    <cellStyle name="Обычный 6 2 3 2 2 2" xfId="137"/>
    <cellStyle name="Обычный 6 2 3 2 2 2 2" xfId="138"/>
    <cellStyle name="Обычный 6 2 3 2 2 2 3" xfId="139"/>
    <cellStyle name="Обычный 6 2 3 2 2 3" xfId="140"/>
    <cellStyle name="Обычный 6 2 3 2 2 4" xfId="141"/>
    <cellStyle name="Обычный 6 2 3 2 3" xfId="142"/>
    <cellStyle name="Обычный 6 2 3 2 3 2" xfId="143"/>
    <cellStyle name="Обычный 6 2 3 2 3 3" xfId="144"/>
    <cellStyle name="Обычный 6 2 3 2 4" xfId="145"/>
    <cellStyle name="Обычный 6 2 3 2 5" xfId="146"/>
    <cellStyle name="Обычный 6 2 3 3" xfId="147"/>
    <cellStyle name="Обычный 6 2 3 3 2" xfId="148"/>
    <cellStyle name="Обычный 6 2 3 3 2 2" xfId="149"/>
    <cellStyle name="Обычный 6 2 3 3 2 3" xfId="150"/>
    <cellStyle name="Обычный 6 2 3 3 3" xfId="151"/>
    <cellStyle name="Обычный 6 2 3 3 4" xfId="152"/>
    <cellStyle name="Обычный 6 2 3 4" xfId="153"/>
    <cellStyle name="Обычный 6 2 3 4 2" xfId="154"/>
    <cellStyle name="Обычный 6 2 3 4 2 2" xfId="155"/>
    <cellStyle name="Обычный 6 2 3 4 2 3" xfId="156"/>
    <cellStyle name="Обычный 6 2 3 4 3" xfId="157"/>
    <cellStyle name="Обычный 6 2 3 4 4" xfId="158"/>
    <cellStyle name="Обычный 6 2 3 5" xfId="159"/>
    <cellStyle name="Обычный 6 2 3 5 2" xfId="160"/>
    <cellStyle name="Обычный 6 2 3 5 3" xfId="161"/>
    <cellStyle name="Обычный 6 2 3 6" xfId="162"/>
    <cellStyle name="Обычный 6 2 3 7" xfId="163"/>
    <cellStyle name="Обычный 6 2 3 8" xfId="164"/>
    <cellStyle name="Обычный 6 2 4" xfId="165"/>
    <cellStyle name="Обычный 6 2 4 2" xfId="166"/>
    <cellStyle name="Обычный 6 2 4 2 2" xfId="167"/>
    <cellStyle name="Обычный 6 2 4 2 3" xfId="168"/>
    <cellStyle name="Обычный 6 2 4 3" xfId="169"/>
    <cellStyle name="Обычный 6 2 4 4" xfId="170"/>
    <cellStyle name="Обычный 6 2 5" xfId="171"/>
    <cellStyle name="Обычный 6 2 5 2" xfId="172"/>
    <cellStyle name="Обычный 6 2 5 2 2" xfId="173"/>
    <cellStyle name="Обычный 6 2 5 2 3" xfId="174"/>
    <cellStyle name="Обычный 6 2 5 3" xfId="175"/>
    <cellStyle name="Обычный 6 2 5 4" xfId="176"/>
    <cellStyle name="Обычный 6 2 6" xfId="177"/>
    <cellStyle name="Обычный 6 2 6 2" xfId="178"/>
    <cellStyle name="Обычный 6 2 6 3" xfId="179"/>
    <cellStyle name="Обычный 6 2 7" xfId="180"/>
    <cellStyle name="Обычный 6 2 8" xfId="181"/>
    <cellStyle name="Обычный 6 2 9" xfId="182"/>
    <cellStyle name="Обычный 6 3" xfId="183"/>
    <cellStyle name="Обычный 6 3 2" xfId="184"/>
    <cellStyle name="Обычный 6 3 2 2" xfId="185"/>
    <cellStyle name="Обычный 6 3 2 3" xfId="186"/>
    <cellStyle name="Обычный 6 3 3" xfId="187"/>
    <cellStyle name="Обычный 6 3 4" xfId="188"/>
    <cellStyle name="Обычный 6 4" xfId="189"/>
    <cellStyle name="Обычный 6 4 2" xfId="190"/>
    <cellStyle name="Обычный 6 4 2 2" xfId="191"/>
    <cellStyle name="Обычный 6 4 2 3" xfId="192"/>
    <cellStyle name="Обычный 6 4 3" xfId="193"/>
    <cellStyle name="Обычный 6 4 4" xfId="194"/>
    <cellStyle name="Обычный 6 5" xfId="195"/>
    <cellStyle name="Обычный 6 5 2" xfId="196"/>
    <cellStyle name="Обычный 6 5 3" xfId="197"/>
    <cellStyle name="Обычный 6 6" xfId="198"/>
    <cellStyle name="Обычный 6 7" xfId="199"/>
    <cellStyle name="Обычный 6 8" xfId="200"/>
    <cellStyle name="Обычный 7" xfId="201"/>
    <cellStyle name="Обычный 7 2" xfId="202"/>
    <cellStyle name="Обычный 7 2 2" xfId="203"/>
    <cellStyle name="Обычный 7 2 2 2" xfId="204"/>
    <cellStyle name="Обычный 7 2 2 2 2" xfId="205"/>
    <cellStyle name="Обычный 7 2 2 2 3" xfId="206"/>
    <cellStyle name="Обычный 7 2 2 3" xfId="207"/>
    <cellStyle name="Обычный 7 2 2 4" xfId="208"/>
    <cellStyle name="Обычный 7 2 3" xfId="209"/>
    <cellStyle name="Обычный 7 2 3 2" xfId="210"/>
    <cellStyle name="Обычный 7 2 3 2 2" xfId="211"/>
    <cellStyle name="Обычный 7 2 3 2 3" xfId="212"/>
    <cellStyle name="Обычный 7 2 3 3" xfId="213"/>
    <cellStyle name="Обычный 7 2 3 4" xfId="214"/>
    <cellStyle name="Обычный 7 2 4" xfId="215"/>
    <cellStyle name="Обычный 7 2 4 2" xfId="216"/>
    <cellStyle name="Обычный 7 2 4 3" xfId="217"/>
    <cellStyle name="Обычный 7 2 5" xfId="218"/>
    <cellStyle name="Обычный 7 2 6" xfId="219"/>
    <cellStyle name="Обычный 7 2 7" xfId="220"/>
    <cellStyle name="Обычный 8" xfId="221"/>
    <cellStyle name="Обычный 9" xfId="222"/>
    <cellStyle name="Обычный 9 2" xfId="223"/>
    <cellStyle name="Обычный 9 2 2" xfId="224"/>
    <cellStyle name="Обычный 9 2 2 2" xfId="225"/>
    <cellStyle name="Обычный 9 2 2 3" xfId="226"/>
    <cellStyle name="Обычный 9 2 2 4" xfId="227"/>
    <cellStyle name="Обычный 9 2 3" xfId="228"/>
    <cellStyle name="Обычный 9 2 4" xfId="229"/>
    <cellStyle name="Обычный 9 3" xfId="230"/>
    <cellStyle name="Обычный 9 3 2" xfId="231"/>
    <cellStyle name="Обычный 9 3 3" xfId="232"/>
    <cellStyle name="Обычный 9 3 4" xfId="233"/>
    <cellStyle name="Обычный 9 4" xfId="234"/>
    <cellStyle name="Обычный 9 5" xfId="235"/>
    <cellStyle name="Обычный_Форматы по компаниям_last" xfId="236"/>
    <cellStyle name="Followed Hyperlink" xfId="237"/>
    <cellStyle name="Плохой" xfId="238"/>
    <cellStyle name="Плохой 2" xfId="239"/>
    <cellStyle name="Пояснение" xfId="240"/>
    <cellStyle name="Пояснение 2" xfId="241"/>
    <cellStyle name="Примечание" xfId="242"/>
    <cellStyle name="Примечание 2" xfId="243"/>
    <cellStyle name="Percent" xfId="244"/>
    <cellStyle name="Процентный 2" xfId="245"/>
    <cellStyle name="Процентный 3" xfId="246"/>
    <cellStyle name="Связанная ячейка" xfId="247"/>
    <cellStyle name="Связанная ячейка 2" xfId="248"/>
    <cellStyle name="Стиль 1" xfId="249"/>
    <cellStyle name="Текст предупреждения" xfId="250"/>
    <cellStyle name="Текст предупреждения 2" xfId="251"/>
    <cellStyle name="Comma" xfId="252"/>
    <cellStyle name="Comma [0]" xfId="253"/>
    <cellStyle name="Финансовый 2" xfId="254"/>
    <cellStyle name="Финансовый 2 2" xfId="255"/>
    <cellStyle name="Финансовый 2 2 2" xfId="256"/>
    <cellStyle name="Финансовый 2 2 2 2" xfId="257"/>
    <cellStyle name="Финансовый 2 2 2 2 2" xfId="258"/>
    <cellStyle name="Финансовый 2 2 2 3" xfId="259"/>
    <cellStyle name="Финансовый 2 2 3" xfId="260"/>
    <cellStyle name="Финансовый 2 2 4" xfId="261"/>
    <cellStyle name="Финансовый 2 3" xfId="262"/>
    <cellStyle name="Финансовый 2 3 2" xfId="263"/>
    <cellStyle name="Финансовый 2 3 2 2" xfId="264"/>
    <cellStyle name="Финансовый 2 3 2 3" xfId="265"/>
    <cellStyle name="Финансовый 2 3 3" xfId="266"/>
    <cellStyle name="Финансовый 2 3 4" xfId="267"/>
    <cellStyle name="Финансовый 2 4" xfId="268"/>
    <cellStyle name="Финансовый 2 4 2" xfId="269"/>
    <cellStyle name="Финансовый 2 4 3" xfId="270"/>
    <cellStyle name="Финансовый 2 5" xfId="271"/>
    <cellStyle name="Финансовый 2 6" xfId="272"/>
    <cellStyle name="Финансовый 2 7" xfId="273"/>
    <cellStyle name="Финансовый 3" xfId="274"/>
    <cellStyle name="Финансовый 3 2" xfId="275"/>
    <cellStyle name="Финансовый 3 2 2" xfId="276"/>
    <cellStyle name="Финансовый 3 2 2 2" xfId="277"/>
    <cellStyle name="Финансовый 3 2 2 3" xfId="278"/>
    <cellStyle name="Финансовый 3 2 3" xfId="279"/>
    <cellStyle name="Финансовый 3 2 4" xfId="280"/>
    <cellStyle name="Финансовый 3 3" xfId="281"/>
    <cellStyle name="Финансовый 3 3 2" xfId="282"/>
    <cellStyle name="Финансовый 3 3 2 2" xfId="283"/>
    <cellStyle name="Финансовый 3 3 2 3" xfId="284"/>
    <cellStyle name="Финансовый 3 3 3" xfId="285"/>
    <cellStyle name="Финансовый 3 3 4" xfId="286"/>
    <cellStyle name="Финансовый 3 4" xfId="287"/>
    <cellStyle name="Финансовый 3 4 2" xfId="288"/>
    <cellStyle name="Финансовый 3 4 3" xfId="289"/>
    <cellStyle name="Финансовый 3 5" xfId="290"/>
    <cellStyle name="Финансовый 3 6" xfId="291"/>
    <cellStyle name="Финансовый 3 7" xfId="292"/>
    <cellStyle name="Хороший" xfId="293"/>
    <cellStyle name="Хороший 2" xfId="2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W95"/>
  <sheetViews>
    <sheetView tabSelected="1" view="pageBreakPreview" zoomScale="85" zoomScaleSheetLayoutView="85" zoomScalePageLayoutView="0" workbookViewId="0" topLeftCell="A7">
      <selection activeCell="B24" sqref="B24"/>
    </sheetView>
  </sheetViews>
  <sheetFormatPr defaultColWidth="9.00390625" defaultRowHeight="15.75"/>
  <cols>
    <col min="1" max="1" width="9.75390625" style="134" customWidth="1"/>
    <col min="2" max="2" width="92.875" style="128" customWidth="1"/>
    <col min="3" max="3" width="15.125" style="25" customWidth="1"/>
    <col min="4" max="5" width="11.875" style="128" customWidth="1"/>
    <col min="6" max="7" width="14.00390625" style="25" customWidth="1"/>
    <col min="8" max="9" width="8.50390625" style="25" customWidth="1"/>
    <col min="10" max="11" width="12.625" style="25" customWidth="1"/>
    <col min="12" max="13" width="13.125" style="25" customWidth="1"/>
    <col min="14" max="17" width="10.125" style="25" customWidth="1"/>
    <col min="18" max="19" width="9.625" style="25" customWidth="1"/>
    <col min="20" max="20" width="9.625" style="401" customWidth="1"/>
    <col min="21" max="21" width="9.625" style="402" customWidth="1"/>
    <col min="22" max="23" width="12.875" style="25" customWidth="1"/>
    <col min="24" max="16384" width="9.00390625" style="25" customWidth="1"/>
  </cols>
  <sheetData>
    <row r="1" spans="1:23" ht="15.75" customHeight="1">
      <c r="A1" s="544" t="s">
        <v>91</v>
      </c>
      <c r="B1" s="544"/>
      <c r="C1" s="544"/>
      <c r="D1" s="544"/>
      <c r="E1" s="544"/>
      <c r="F1" s="544"/>
      <c r="G1" s="544"/>
      <c r="H1" s="544"/>
      <c r="I1" s="544"/>
      <c r="J1" s="544"/>
      <c r="K1" s="544"/>
      <c r="L1" s="544"/>
      <c r="M1" s="544"/>
      <c r="N1" s="544"/>
      <c r="O1" s="544"/>
      <c r="P1" s="544"/>
      <c r="Q1" s="544"/>
      <c r="R1" s="544"/>
      <c r="S1" s="544"/>
      <c r="T1" s="544"/>
      <c r="U1" s="544"/>
      <c r="V1" s="544"/>
      <c r="W1" s="544"/>
    </row>
    <row r="2" spans="1:23" ht="15.75" customHeight="1">
      <c r="A2" s="545" t="s">
        <v>423</v>
      </c>
      <c r="B2" s="545"/>
      <c r="C2" s="545"/>
      <c r="D2" s="545"/>
      <c r="E2" s="545"/>
      <c r="F2" s="545"/>
      <c r="G2" s="545"/>
      <c r="H2" s="545"/>
      <c r="I2" s="545"/>
      <c r="J2" s="545"/>
      <c r="K2" s="545"/>
      <c r="L2" s="545"/>
      <c r="M2" s="545"/>
      <c r="N2" s="545"/>
      <c r="O2" s="545"/>
      <c r="P2" s="545"/>
      <c r="Q2" s="545"/>
      <c r="R2" s="545"/>
      <c r="S2" s="545"/>
      <c r="T2" s="545"/>
      <c r="U2" s="545"/>
      <c r="V2" s="545"/>
      <c r="W2" s="545"/>
    </row>
    <row r="3" spans="1:23" ht="15.75" customHeight="1">
      <c r="A3" s="545" t="s">
        <v>589</v>
      </c>
      <c r="B3" s="545"/>
      <c r="C3" s="545"/>
      <c r="D3" s="545"/>
      <c r="E3" s="545"/>
      <c r="F3" s="545"/>
      <c r="G3" s="545"/>
      <c r="H3" s="545"/>
      <c r="I3" s="545"/>
      <c r="J3" s="545"/>
      <c r="K3" s="545"/>
      <c r="L3" s="545"/>
      <c r="M3" s="545"/>
      <c r="N3" s="545"/>
      <c r="O3" s="545"/>
      <c r="P3" s="545"/>
      <c r="Q3" s="545"/>
      <c r="R3" s="545"/>
      <c r="S3" s="545"/>
      <c r="T3" s="545"/>
      <c r="U3" s="545"/>
      <c r="V3" s="545"/>
      <c r="W3" s="545"/>
    </row>
    <row r="4" spans="1:23" ht="15.75" customHeight="1">
      <c r="A4" s="16"/>
      <c r="B4" s="16"/>
      <c r="C4" s="16"/>
      <c r="D4" s="116"/>
      <c r="E4" s="116"/>
      <c r="F4" s="16"/>
      <c r="G4" s="16"/>
      <c r="H4" s="16"/>
      <c r="I4" s="16"/>
      <c r="J4" s="16"/>
      <c r="K4" s="16"/>
      <c r="L4" s="16"/>
      <c r="M4" s="16"/>
      <c r="N4" s="16"/>
      <c r="O4" s="16"/>
      <c r="P4" s="16"/>
      <c r="Q4" s="16"/>
      <c r="R4" s="16"/>
      <c r="S4" s="16"/>
      <c r="T4" s="116"/>
      <c r="U4" s="116"/>
      <c r="V4" s="16"/>
      <c r="W4" s="16"/>
    </row>
    <row r="5" spans="1:23" ht="15.75" customHeight="1">
      <c r="A5" s="16"/>
      <c r="B5" s="16"/>
      <c r="C5" s="16"/>
      <c r="D5" s="116"/>
      <c r="E5" s="116"/>
      <c r="F5" s="16"/>
      <c r="G5" s="16"/>
      <c r="H5" s="16"/>
      <c r="I5" s="16"/>
      <c r="J5" s="16"/>
      <c r="K5" s="16"/>
      <c r="L5" s="16"/>
      <c r="M5" s="16"/>
      <c r="N5" s="16"/>
      <c r="O5" s="16"/>
      <c r="P5" s="16"/>
      <c r="Q5" s="16"/>
      <c r="R5" s="16"/>
      <c r="S5" s="16"/>
      <c r="T5" s="116"/>
      <c r="U5" s="116"/>
      <c r="V5" s="16"/>
      <c r="W5" s="16" t="s">
        <v>591</v>
      </c>
    </row>
    <row r="6" spans="1:23" ht="15.75" customHeight="1">
      <c r="A6" s="16"/>
      <c r="B6" s="16"/>
      <c r="C6" s="16"/>
      <c r="D6" s="116"/>
      <c r="E6" s="116"/>
      <c r="F6" s="16"/>
      <c r="G6" s="16"/>
      <c r="H6" s="16"/>
      <c r="I6" s="16"/>
      <c r="J6" s="16"/>
      <c r="K6" s="16"/>
      <c r="L6" s="16"/>
      <c r="M6" s="16"/>
      <c r="N6" s="16"/>
      <c r="O6" s="16"/>
      <c r="P6" s="16"/>
      <c r="Q6" s="16"/>
      <c r="R6" s="16"/>
      <c r="S6" s="16"/>
      <c r="T6" s="116"/>
      <c r="U6" s="116"/>
      <c r="V6" s="16"/>
      <c r="W6" s="16" t="s">
        <v>592</v>
      </c>
    </row>
    <row r="7" spans="1:23" ht="15.75" customHeight="1">
      <c r="A7" s="16"/>
      <c r="B7" s="16"/>
      <c r="C7" s="16"/>
      <c r="D7" s="116"/>
      <c r="E7" s="116"/>
      <c r="F7" s="16"/>
      <c r="G7" s="16"/>
      <c r="H7" s="16"/>
      <c r="I7" s="16"/>
      <c r="J7" s="16"/>
      <c r="K7" s="16"/>
      <c r="L7" s="16"/>
      <c r="M7" s="16"/>
      <c r="N7" s="16"/>
      <c r="O7" s="16"/>
      <c r="P7" s="16"/>
      <c r="Q7" s="16"/>
      <c r="R7" s="16"/>
      <c r="S7" s="16"/>
      <c r="T7" s="116"/>
      <c r="U7" s="116"/>
      <c r="V7" s="16"/>
      <c r="W7" s="16"/>
    </row>
    <row r="8" spans="1:23" ht="15.75" customHeight="1">
      <c r="A8" s="16"/>
      <c r="B8" s="16"/>
      <c r="C8" s="16"/>
      <c r="D8" s="116"/>
      <c r="E8" s="116"/>
      <c r="F8" s="16"/>
      <c r="G8" s="16"/>
      <c r="H8" s="16"/>
      <c r="I8" s="16"/>
      <c r="J8" s="16"/>
      <c r="K8" s="16"/>
      <c r="L8" s="16"/>
      <c r="M8" s="16"/>
      <c r="N8" s="16"/>
      <c r="O8" s="16"/>
      <c r="P8" s="16"/>
      <c r="Q8" s="16"/>
      <c r="R8" s="16"/>
      <c r="S8" s="181"/>
      <c r="T8" s="379"/>
      <c r="U8" s="379"/>
      <c r="V8" s="181"/>
      <c r="W8" s="16" t="s">
        <v>590</v>
      </c>
    </row>
    <row r="9" spans="1:23" ht="15.75" customHeight="1">
      <c r="A9" s="16"/>
      <c r="B9" s="16"/>
      <c r="C9" s="16"/>
      <c r="D9" s="116"/>
      <c r="E9" s="116"/>
      <c r="F9" s="16"/>
      <c r="G9" s="16"/>
      <c r="H9" s="16"/>
      <c r="I9" s="16"/>
      <c r="J9" s="16"/>
      <c r="K9" s="16"/>
      <c r="L9" s="16"/>
      <c r="M9" s="16"/>
      <c r="N9" s="16"/>
      <c r="O9" s="16"/>
      <c r="P9" s="16"/>
      <c r="Q9" s="16"/>
      <c r="R9" s="16"/>
      <c r="S9" s="16"/>
      <c r="T9" s="116"/>
      <c r="U9" s="116"/>
      <c r="V9" s="16"/>
      <c r="W9" s="16"/>
    </row>
    <row r="10" spans="1:23" ht="15.75" customHeight="1">
      <c r="A10" s="16"/>
      <c r="B10" s="16"/>
      <c r="C10" s="16"/>
      <c r="D10" s="116"/>
      <c r="E10" s="116"/>
      <c r="F10" s="16"/>
      <c r="G10" s="16"/>
      <c r="H10" s="16"/>
      <c r="I10" s="16"/>
      <c r="J10" s="16"/>
      <c r="K10" s="16"/>
      <c r="L10" s="16"/>
      <c r="M10" s="16"/>
      <c r="N10" s="16"/>
      <c r="O10" s="16"/>
      <c r="P10" s="16"/>
      <c r="Q10" s="16"/>
      <c r="R10" s="16"/>
      <c r="S10" s="480" t="s">
        <v>593</v>
      </c>
      <c r="T10" s="116"/>
      <c r="U10" s="530" t="s">
        <v>719</v>
      </c>
      <c r="V10" s="530"/>
      <c r="W10" s="479" t="s">
        <v>720</v>
      </c>
    </row>
    <row r="11" spans="1:21" ht="18.75">
      <c r="A11" s="531" t="s">
        <v>420</v>
      </c>
      <c r="B11" s="531"/>
      <c r="C11" s="531"/>
      <c r="D11" s="531"/>
      <c r="E11" s="531"/>
      <c r="F11" s="531"/>
      <c r="G11" s="531"/>
      <c r="H11" s="531"/>
      <c r="I11" s="531"/>
      <c r="J11" s="531"/>
      <c r="K11" s="531"/>
      <c r="L11" s="531"/>
      <c r="M11" s="531"/>
      <c r="N11" s="531"/>
      <c r="O11" s="531"/>
      <c r="P11" s="531"/>
      <c r="Q11" s="531"/>
      <c r="R11" s="531"/>
      <c r="S11" s="531"/>
      <c r="T11" s="531"/>
      <c r="U11" s="531"/>
    </row>
    <row r="12" spans="1:21" ht="18.75">
      <c r="A12" s="555" t="s">
        <v>613</v>
      </c>
      <c r="B12" s="555"/>
      <c r="C12" s="555"/>
      <c r="D12" s="555"/>
      <c r="E12" s="555"/>
      <c r="F12" s="555"/>
      <c r="G12" s="555"/>
      <c r="H12" s="555"/>
      <c r="I12" s="555"/>
      <c r="J12" s="555"/>
      <c r="K12" s="555"/>
      <c r="L12" s="555"/>
      <c r="M12" s="555"/>
      <c r="N12" s="555"/>
      <c r="O12" s="555"/>
      <c r="P12" s="555"/>
      <c r="Q12" s="555"/>
      <c r="R12" s="555"/>
      <c r="S12" s="555"/>
      <c r="T12" s="555"/>
      <c r="U12" s="555"/>
    </row>
    <row r="13" spans="20:21" ht="15.75" customHeight="1">
      <c r="T13" s="128"/>
      <c r="U13" s="128"/>
    </row>
    <row r="14" spans="1:21" ht="21.75" customHeight="1">
      <c r="A14" s="532" t="s">
        <v>585</v>
      </c>
      <c r="B14" s="532"/>
      <c r="C14" s="532"/>
      <c r="D14" s="532"/>
      <c r="E14" s="532"/>
      <c r="F14" s="532"/>
      <c r="G14" s="532"/>
      <c r="H14" s="532"/>
      <c r="I14" s="532"/>
      <c r="J14" s="532"/>
      <c r="K14" s="532"/>
      <c r="L14" s="532"/>
      <c r="M14" s="532"/>
      <c r="N14" s="532"/>
      <c r="O14" s="532"/>
      <c r="P14" s="532"/>
      <c r="Q14" s="532"/>
      <c r="R14" s="532"/>
      <c r="S14" s="532"/>
      <c r="T14" s="532"/>
      <c r="U14" s="532"/>
    </row>
    <row r="15" spans="1:21" ht="15.75" customHeight="1">
      <c r="A15" s="542" t="s">
        <v>109</v>
      </c>
      <c r="B15" s="542"/>
      <c r="C15" s="542"/>
      <c r="D15" s="542"/>
      <c r="E15" s="542"/>
      <c r="F15" s="542"/>
      <c r="G15" s="542"/>
      <c r="H15" s="542"/>
      <c r="I15" s="542"/>
      <c r="J15" s="542"/>
      <c r="K15" s="542"/>
      <c r="L15" s="542"/>
      <c r="M15" s="542"/>
      <c r="N15" s="542"/>
      <c r="O15" s="542"/>
      <c r="P15" s="542"/>
      <c r="Q15" s="542"/>
      <c r="R15" s="542"/>
      <c r="S15" s="542"/>
      <c r="T15" s="542"/>
      <c r="U15" s="542"/>
    </row>
    <row r="16" spans="20:21" ht="12">
      <c r="T16" s="128"/>
      <c r="U16" s="128"/>
    </row>
    <row r="17" spans="1:21" ht="16.5" customHeight="1">
      <c r="A17" s="532" t="s">
        <v>721</v>
      </c>
      <c r="B17" s="532"/>
      <c r="C17" s="532"/>
      <c r="D17" s="532"/>
      <c r="E17" s="532"/>
      <c r="F17" s="532"/>
      <c r="G17" s="532"/>
      <c r="H17" s="532"/>
      <c r="I17" s="532"/>
      <c r="J17" s="532"/>
      <c r="K17" s="532"/>
      <c r="L17" s="532"/>
      <c r="M17" s="532"/>
      <c r="N17" s="532"/>
      <c r="O17" s="532"/>
      <c r="P17" s="532"/>
      <c r="Q17" s="532"/>
      <c r="R17" s="532"/>
      <c r="S17" s="532"/>
      <c r="T17" s="532"/>
      <c r="U17" s="532"/>
    </row>
    <row r="18" spans="1:21" ht="15" customHeight="1" thickBot="1">
      <c r="A18" s="135"/>
      <c r="B18" s="129"/>
      <c r="C18" s="27"/>
      <c r="D18" s="129"/>
      <c r="E18" s="129"/>
      <c r="F18" s="27"/>
      <c r="G18" s="27"/>
      <c r="H18" s="47"/>
      <c r="I18" s="47"/>
      <c r="J18" s="47"/>
      <c r="K18" s="47"/>
      <c r="L18" s="47"/>
      <c r="M18" s="47"/>
      <c r="N18" s="47"/>
      <c r="O18" s="47"/>
      <c r="P18" s="47"/>
      <c r="Q18" s="47"/>
      <c r="R18" s="27"/>
      <c r="S18" s="27"/>
      <c r="T18" s="129"/>
      <c r="U18" s="129"/>
    </row>
    <row r="19" spans="1:23" s="28" customFormat="1" ht="33.75" customHeight="1">
      <c r="A19" s="550" t="s">
        <v>604</v>
      </c>
      <c r="B19" s="536" t="s">
        <v>452</v>
      </c>
      <c r="C19" s="539" t="s">
        <v>256</v>
      </c>
      <c r="D19" s="548" t="s">
        <v>19</v>
      </c>
      <c r="E19" s="548"/>
      <c r="F19" s="548"/>
      <c r="G19" s="548"/>
      <c r="H19" s="548"/>
      <c r="I19" s="548"/>
      <c r="J19" s="548"/>
      <c r="K19" s="548"/>
      <c r="L19" s="548"/>
      <c r="M19" s="548"/>
      <c r="N19" s="548"/>
      <c r="O19" s="548"/>
      <c r="P19" s="548"/>
      <c r="Q19" s="548"/>
      <c r="R19" s="548"/>
      <c r="S19" s="548"/>
      <c r="T19" s="548"/>
      <c r="U19" s="548"/>
      <c r="V19" s="548"/>
      <c r="W19" s="549"/>
    </row>
    <row r="20" spans="1:23" ht="145.5" customHeight="1">
      <c r="A20" s="551"/>
      <c r="B20" s="537"/>
      <c r="C20" s="540"/>
      <c r="D20" s="537" t="s">
        <v>493</v>
      </c>
      <c r="E20" s="537"/>
      <c r="F20" s="540" t="s">
        <v>494</v>
      </c>
      <c r="G20" s="540"/>
      <c r="H20" s="540" t="s">
        <v>179</v>
      </c>
      <c r="I20" s="540"/>
      <c r="J20" s="540" t="s">
        <v>488</v>
      </c>
      <c r="K20" s="540"/>
      <c r="L20" s="540"/>
      <c r="M20" s="540"/>
      <c r="N20" s="540" t="s">
        <v>454</v>
      </c>
      <c r="O20" s="540"/>
      <c r="P20" s="540"/>
      <c r="Q20" s="540"/>
      <c r="R20" s="540" t="s">
        <v>470</v>
      </c>
      <c r="S20" s="540"/>
      <c r="T20" s="540"/>
      <c r="U20" s="540"/>
      <c r="V20" s="546" t="s">
        <v>471</v>
      </c>
      <c r="W20" s="547"/>
    </row>
    <row r="21" spans="1:23" s="29" customFormat="1" ht="174.75" customHeight="1">
      <c r="A21" s="551"/>
      <c r="B21" s="537"/>
      <c r="C21" s="540"/>
      <c r="D21" s="543" t="s">
        <v>473</v>
      </c>
      <c r="E21" s="543"/>
      <c r="F21" s="533" t="s">
        <v>474</v>
      </c>
      <c r="G21" s="534"/>
      <c r="H21" s="535" t="s">
        <v>182</v>
      </c>
      <c r="I21" s="535"/>
      <c r="J21" s="535" t="s">
        <v>472</v>
      </c>
      <c r="K21" s="535"/>
      <c r="L21" s="533" t="s">
        <v>183</v>
      </c>
      <c r="M21" s="534"/>
      <c r="N21" s="535" t="s">
        <v>180</v>
      </c>
      <c r="O21" s="535"/>
      <c r="P21" s="535" t="s">
        <v>181</v>
      </c>
      <c r="Q21" s="535"/>
      <c r="R21" s="535" t="s">
        <v>177</v>
      </c>
      <c r="S21" s="535"/>
      <c r="T21" s="543" t="s">
        <v>178</v>
      </c>
      <c r="U21" s="543"/>
      <c r="V21" s="553" t="s">
        <v>184</v>
      </c>
      <c r="W21" s="554"/>
    </row>
    <row r="22" spans="1:23" ht="128.25" customHeight="1" thickBot="1">
      <c r="A22" s="552"/>
      <c r="B22" s="538"/>
      <c r="C22" s="541"/>
      <c r="D22" s="374" t="s">
        <v>627</v>
      </c>
      <c r="E22" s="374" t="s">
        <v>628</v>
      </c>
      <c r="F22" s="374" t="s">
        <v>627</v>
      </c>
      <c r="G22" s="374" t="s">
        <v>628</v>
      </c>
      <c r="H22" s="192" t="s">
        <v>627</v>
      </c>
      <c r="I22" s="192" t="s">
        <v>628</v>
      </c>
      <c r="J22" s="192" t="s">
        <v>627</v>
      </c>
      <c r="K22" s="192" t="s">
        <v>628</v>
      </c>
      <c r="L22" s="192" t="s">
        <v>627</v>
      </c>
      <c r="M22" s="192" t="s">
        <v>628</v>
      </c>
      <c r="N22" s="192" t="s">
        <v>627</v>
      </c>
      <c r="O22" s="192" t="s">
        <v>628</v>
      </c>
      <c r="P22" s="192" t="s">
        <v>627</v>
      </c>
      <c r="Q22" s="192" t="s">
        <v>628</v>
      </c>
      <c r="R22" s="192" t="s">
        <v>627</v>
      </c>
      <c r="S22" s="374" t="s">
        <v>628</v>
      </c>
      <c r="T22" s="374" t="s">
        <v>627</v>
      </c>
      <c r="U22" s="374" t="s">
        <v>628</v>
      </c>
      <c r="V22" s="192" t="s">
        <v>627</v>
      </c>
      <c r="W22" s="193" t="s">
        <v>628</v>
      </c>
    </row>
    <row r="23" spans="1:23" s="30" customFormat="1" ht="16.5" thickBot="1">
      <c r="A23" s="198">
        <v>1</v>
      </c>
      <c r="B23" s="199">
        <v>2</v>
      </c>
      <c r="C23" s="200">
        <v>3</v>
      </c>
      <c r="D23" s="375" t="s">
        <v>539</v>
      </c>
      <c r="E23" s="375" t="s">
        <v>546</v>
      </c>
      <c r="F23" s="375" t="s">
        <v>534</v>
      </c>
      <c r="G23" s="375" t="s">
        <v>535</v>
      </c>
      <c r="H23" s="201" t="s">
        <v>537</v>
      </c>
      <c r="I23" s="201" t="s">
        <v>538</v>
      </c>
      <c r="J23" s="201" t="s">
        <v>549</v>
      </c>
      <c r="K23" s="201" t="s">
        <v>550</v>
      </c>
      <c r="L23" s="201" t="s">
        <v>10</v>
      </c>
      <c r="M23" s="201" t="s">
        <v>11</v>
      </c>
      <c r="N23" s="201" t="s">
        <v>552</v>
      </c>
      <c r="O23" s="201" t="s">
        <v>553</v>
      </c>
      <c r="P23" s="201" t="s">
        <v>557</v>
      </c>
      <c r="Q23" s="201" t="s">
        <v>558</v>
      </c>
      <c r="R23" s="201" t="s">
        <v>12</v>
      </c>
      <c r="S23" s="375" t="s">
        <v>13</v>
      </c>
      <c r="T23" s="375" t="s">
        <v>14</v>
      </c>
      <c r="U23" s="375" t="s">
        <v>15</v>
      </c>
      <c r="V23" s="202" t="s">
        <v>16</v>
      </c>
      <c r="W23" s="203" t="s">
        <v>17</v>
      </c>
    </row>
    <row r="24" spans="1:23" s="132" customFormat="1" ht="15.75">
      <c r="A24" s="403"/>
      <c r="B24" s="194" t="s">
        <v>475</v>
      </c>
      <c r="C24" s="195" t="s">
        <v>261</v>
      </c>
      <c r="D24" s="376">
        <f>SUM(D25:D30)</f>
        <v>0</v>
      </c>
      <c r="E24" s="376">
        <f aca="true" t="shared" si="0" ref="E24:W24">SUM(E25:E30)</f>
        <v>0</v>
      </c>
      <c r="F24" s="376">
        <f t="shared" si="0"/>
        <v>18.947000000000003</v>
      </c>
      <c r="G24" s="376">
        <f t="shared" si="0"/>
        <v>18.947000000000003</v>
      </c>
      <c r="H24" s="196">
        <f t="shared" si="0"/>
        <v>0</v>
      </c>
      <c r="I24" s="196">
        <f t="shared" si="0"/>
        <v>0</v>
      </c>
      <c r="J24" s="196">
        <f t="shared" si="0"/>
        <v>0</v>
      </c>
      <c r="K24" s="196">
        <f t="shared" si="0"/>
        <v>0</v>
      </c>
      <c r="L24" s="196">
        <f t="shared" si="0"/>
        <v>0</v>
      </c>
      <c r="M24" s="196">
        <f t="shared" si="0"/>
        <v>0</v>
      </c>
      <c r="N24" s="196">
        <f t="shared" si="0"/>
        <v>0</v>
      </c>
      <c r="O24" s="196">
        <f t="shared" si="0"/>
        <v>0</v>
      </c>
      <c r="P24" s="196">
        <f t="shared" si="0"/>
        <v>0</v>
      </c>
      <c r="Q24" s="196">
        <f t="shared" si="0"/>
        <v>0</v>
      </c>
      <c r="R24" s="196">
        <f t="shared" si="0"/>
        <v>0</v>
      </c>
      <c r="S24" s="376">
        <f t="shared" si="0"/>
        <v>0</v>
      </c>
      <c r="T24" s="376">
        <f t="shared" si="0"/>
        <v>37.523410673</v>
      </c>
      <c r="U24" s="376">
        <f t="shared" si="0"/>
        <v>37.0037639584</v>
      </c>
      <c r="V24" s="196">
        <f t="shared" si="0"/>
        <v>0</v>
      </c>
      <c r="W24" s="197">
        <f t="shared" si="0"/>
        <v>0</v>
      </c>
    </row>
    <row r="25" spans="1:23" s="132" customFormat="1" ht="15.75">
      <c r="A25" s="136" t="s">
        <v>476</v>
      </c>
      <c r="B25" s="159" t="s">
        <v>477</v>
      </c>
      <c r="C25" s="133" t="s">
        <v>261</v>
      </c>
      <c r="D25" s="174">
        <v>0</v>
      </c>
      <c r="E25" s="174">
        <v>0</v>
      </c>
      <c r="F25" s="174">
        <f>F53</f>
        <v>5.628</v>
      </c>
      <c r="G25" s="174">
        <f>G53</f>
        <v>5.628</v>
      </c>
      <c r="H25" s="131">
        <v>0</v>
      </c>
      <c r="I25" s="131">
        <v>0</v>
      </c>
      <c r="J25" s="131">
        <v>0</v>
      </c>
      <c r="K25" s="131">
        <v>0</v>
      </c>
      <c r="L25" s="131">
        <v>0</v>
      </c>
      <c r="M25" s="131">
        <v>0</v>
      </c>
      <c r="N25" s="131">
        <v>0</v>
      </c>
      <c r="O25" s="131">
        <v>0</v>
      </c>
      <c r="P25" s="131">
        <v>0</v>
      </c>
      <c r="Q25" s="131">
        <v>0</v>
      </c>
      <c r="R25" s="131">
        <v>0</v>
      </c>
      <c r="S25" s="174">
        <v>0</v>
      </c>
      <c r="T25" s="174">
        <f>T53</f>
        <v>12.555067775200001</v>
      </c>
      <c r="U25" s="174">
        <f>U53</f>
        <v>12.555067775200001</v>
      </c>
      <c r="V25" s="131">
        <v>0</v>
      </c>
      <c r="W25" s="187">
        <v>0</v>
      </c>
    </row>
    <row r="26" spans="1:23" s="132" customFormat="1" ht="15.75">
      <c r="A26" s="136" t="s">
        <v>478</v>
      </c>
      <c r="B26" s="159" t="s">
        <v>479</v>
      </c>
      <c r="C26" s="133" t="s">
        <v>261</v>
      </c>
      <c r="D26" s="174">
        <f aca="true" t="shared" si="1" ref="D26:W26">D32+D43</f>
        <v>0</v>
      </c>
      <c r="E26" s="174">
        <f t="shared" si="1"/>
        <v>0</v>
      </c>
      <c r="F26" s="174">
        <f t="shared" si="1"/>
        <v>11.075000000000001</v>
      </c>
      <c r="G26" s="174">
        <f t="shared" si="1"/>
        <v>11.075000000000001</v>
      </c>
      <c r="H26" s="131">
        <f t="shared" si="1"/>
        <v>0</v>
      </c>
      <c r="I26" s="131">
        <f t="shared" si="1"/>
        <v>0</v>
      </c>
      <c r="J26" s="131">
        <f t="shared" si="1"/>
        <v>0</v>
      </c>
      <c r="K26" s="131">
        <f t="shared" si="1"/>
        <v>0</v>
      </c>
      <c r="L26" s="131">
        <f t="shared" si="1"/>
        <v>0</v>
      </c>
      <c r="M26" s="131">
        <f t="shared" si="1"/>
        <v>0</v>
      </c>
      <c r="N26" s="131">
        <f t="shared" si="1"/>
        <v>0</v>
      </c>
      <c r="O26" s="131">
        <f t="shared" si="1"/>
        <v>0</v>
      </c>
      <c r="P26" s="131">
        <f t="shared" si="1"/>
        <v>0</v>
      </c>
      <c r="Q26" s="131">
        <f t="shared" si="1"/>
        <v>0</v>
      </c>
      <c r="R26" s="131">
        <f t="shared" si="1"/>
        <v>0</v>
      </c>
      <c r="S26" s="174">
        <f t="shared" si="1"/>
        <v>0</v>
      </c>
      <c r="T26" s="174">
        <f t="shared" si="1"/>
        <v>14.576839057799997</v>
      </c>
      <c r="U26" s="174">
        <f t="shared" si="1"/>
        <v>13.964126690599999</v>
      </c>
      <c r="V26" s="131">
        <f t="shared" si="1"/>
        <v>0</v>
      </c>
      <c r="W26" s="187">
        <f t="shared" si="1"/>
        <v>0</v>
      </c>
    </row>
    <row r="27" spans="1:23" s="132" customFormat="1" ht="31.5">
      <c r="A27" s="136" t="s">
        <v>480</v>
      </c>
      <c r="B27" s="159" t="s">
        <v>481</v>
      </c>
      <c r="C27" s="133" t="s">
        <v>261</v>
      </c>
      <c r="D27" s="174">
        <v>0</v>
      </c>
      <c r="E27" s="174">
        <v>0</v>
      </c>
      <c r="F27" s="174">
        <v>0</v>
      </c>
      <c r="G27" s="174">
        <v>0</v>
      </c>
      <c r="H27" s="131">
        <v>0</v>
      </c>
      <c r="I27" s="131">
        <v>0</v>
      </c>
      <c r="J27" s="131">
        <v>0</v>
      </c>
      <c r="K27" s="131">
        <v>0</v>
      </c>
      <c r="L27" s="131">
        <v>0</v>
      </c>
      <c r="M27" s="131">
        <v>0</v>
      </c>
      <c r="N27" s="131">
        <v>0</v>
      </c>
      <c r="O27" s="131">
        <v>0</v>
      </c>
      <c r="P27" s="131">
        <v>0</v>
      </c>
      <c r="Q27" s="131">
        <v>0</v>
      </c>
      <c r="R27" s="131">
        <v>0</v>
      </c>
      <c r="S27" s="174">
        <v>0</v>
      </c>
      <c r="T27" s="174">
        <v>0</v>
      </c>
      <c r="U27" s="174">
        <v>0</v>
      </c>
      <c r="V27" s="131">
        <v>0</v>
      </c>
      <c r="W27" s="187">
        <v>0</v>
      </c>
    </row>
    <row r="28" spans="1:23" s="132" customFormat="1" ht="15.75">
      <c r="A28" s="136" t="s">
        <v>482</v>
      </c>
      <c r="B28" s="159" t="s">
        <v>483</v>
      </c>
      <c r="C28" s="133" t="s">
        <v>261</v>
      </c>
      <c r="D28" s="174">
        <f>D50</f>
        <v>0</v>
      </c>
      <c r="E28" s="174">
        <f aca="true" t="shared" si="2" ref="E28:W28">E50</f>
        <v>0</v>
      </c>
      <c r="F28" s="174">
        <f>F51</f>
        <v>2.244</v>
      </c>
      <c r="G28" s="174">
        <f>G51</f>
        <v>2.244</v>
      </c>
      <c r="H28" s="131">
        <f t="shared" si="2"/>
        <v>0</v>
      </c>
      <c r="I28" s="131">
        <f t="shared" si="2"/>
        <v>0</v>
      </c>
      <c r="J28" s="131">
        <f t="shared" si="2"/>
        <v>0</v>
      </c>
      <c r="K28" s="131">
        <f t="shared" si="2"/>
        <v>0</v>
      </c>
      <c r="L28" s="131">
        <f t="shared" si="2"/>
        <v>0</v>
      </c>
      <c r="M28" s="131">
        <f t="shared" si="2"/>
        <v>0</v>
      </c>
      <c r="N28" s="131">
        <f t="shared" si="2"/>
        <v>0</v>
      </c>
      <c r="O28" s="131">
        <f t="shared" si="2"/>
        <v>0</v>
      </c>
      <c r="P28" s="131">
        <f t="shared" si="2"/>
        <v>0</v>
      </c>
      <c r="Q28" s="131">
        <f t="shared" si="2"/>
        <v>0</v>
      </c>
      <c r="R28" s="131">
        <f t="shared" si="2"/>
        <v>0</v>
      </c>
      <c r="S28" s="174">
        <f t="shared" si="2"/>
        <v>0</v>
      </c>
      <c r="T28" s="174">
        <f>T51</f>
        <v>7.42196984</v>
      </c>
      <c r="U28" s="174">
        <f>U51</f>
        <v>7.622885845</v>
      </c>
      <c r="V28" s="131">
        <f t="shared" si="2"/>
        <v>0</v>
      </c>
      <c r="W28" s="187">
        <f t="shared" si="2"/>
        <v>0</v>
      </c>
    </row>
    <row r="29" spans="1:23" s="132" customFormat="1" ht="15.75">
      <c r="A29" s="136" t="s">
        <v>484</v>
      </c>
      <c r="B29" s="160" t="s">
        <v>485</v>
      </c>
      <c r="C29" s="133" t="s">
        <v>261</v>
      </c>
      <c r="D29" s="174">
        <v>0</v>
      </c>
      <c r="E29" s="174">
        <v>0</v>
      </c>
      <c r="F29" s="174">
        <v>0</v>
      </c>
      <c r="G29" s="174">
        <v>0</v>
      </c>
      <c r="H29" s="131">
        <v>0</v>
      </c>
      <c r="I29" s="131">
        <v>0</v>
      </c>
      <c r="J29" s="131">
        <v>0</v>
      </c>
      <c r="K29" s="131">
        <v>0</v>
      </c>
      <c r="L29" s="131">
        <v>0</v>
      </c>
      <c r="M29" s="131">
        <v>0</v>
      </c>
      <c r="N29" s="131">
        <v>0</v>
      </c>
      <c r="O29" s="131">
        <v>0</v>
      </c>
      <c r="P29" s="131">
        <v>0</v>
      </c>
      <c r="Q29" s="131">
        <v>0</v>
      </c>
      <c r="R29" s="131">
        <v>0</v>
      </c>
      <c r="S29" s="174">
        <v>0</v>
      </c>
      <c r="T29" s="174">
        <v>0</v>
      </c>
      <c r="U29" s="174">
        <v>0</v>
      </c>
      <c r="V29" s="131">
        <v>0</v>
      </c>
      <c r="W29" s="187">
        <v>0</v>
      </c>
    </row>
    <row r="30" spans="1:23" s="132" customFormat="1" ht="15.75">
      <c r="A30" s="136" t="s">
        <v>486</v>
      </c>
      <c r="B30" s="160" t="s">
        <v>487</v>
      </c>
      <c r="C30" s="133" t="s">
        <v>261</v>
      </c>
      <c r="D30" s="174">
        <f>D46</f>
        <v>0</v>
      </c>
      <c r="E30" s="174">
        <f aca="true" t="shared" si="3" ref="E30:W30">E46</f>
        <v>0</v>
      </c>
      <c r="F30" s="174">
        <f t="shared" si="3"/>
        <v>0</v>
      </c>
      <c r="G30" s="174">
        <f t="shared" si="3"/>
        <v>0</v>
      </c>
      <c r="H30" s="131">
        <f t="shared" si="3"/>
        <v>0</v>
      </c>
      <c r="I30" s="131">
        <f t="shared" si="3"/>
        <v>0</v>
      </c>
      <c r="J30" s="131">
        <f t="shared" si="3"/>
        <v>0</v>
      </c>
      <c r="K30" s="131">
        <f t="shared" si="3"/>
        <v>0</v>
      </c>
      <c r="L30" s="131">
        <f t="shared" si="3"/>
        <v>0</v>
      </c>
      <c r="M30" s="131">
        <f t="shared" si="3"/>
        <v>0</v>
      </c>
      <c r="N30" s="131">
        <f t="shared" si="3"/>
        <v>0</v>
      </c>
      <c r="O30" s="131">
        <f t="shared" si="3"/>
        <v>0</v>
      </c>
      <c r="P30" s="131">
        <f t="shared" si="3"/>
        <v>0</v>
      </c>
      <c r="Q30" s="131">
        <f t="shared" si="3"/>
        <v>0</v>
      </c>
      <c r="R30" s="131">
        <f t="shared" si="3"/>
        <v>0</v>
      </c>
      <c r="S30" s="174">
        <f t="shared" si="3"/>
        <v>0</v>
      </c>
      <c r="T30" s="174">
        <f t="shared" si="3"/>
        <v>2.969534</v>
      </c>
      <c r="U30" s="174">
        <f t="shared" si="3"/>
        <v>2.8616836475999996</v>
      </c>
      <c r="V30" s="131">
        <f t="shared" si="3"/>
        <v>0</v>
      </c>
      <c r="W30" s="187">
        <f t="shared" si="3"/>
        <v>0</v>
      </c>
    </row>
    <row r="31" spans="1:23" s="132" customFormat="1" ht="15.75">
      <c r="A31" s="136" t="s">
        <v>284</v>
      </c>
      <c r="B31" s="161" t="s">
        <v>260</v>
      </c>
      <c r="C31" s="133" t="s">
        <v>261</v>
      </c>
      <c r="D31" s="174"/>
      <c r="E31" s="174"/>
      <c r="F31" s="174"/>
      <c r="G31" s="174"/>
      <c r="H31" s="131"/>
      <c r="I31" s="131"/>
      <c r="J31" s="131"/>
      <c r="K31" s="131"/>
      <c r="L31" s="131"/>
      <c r="M31" s="131"/>
      <c r="N31" s="131"/>
      <c r="O31" s="131"/>
      <c r="P31" s="131"/>
      <c r="Q31" s="131"/>
      <c r="R31" s="131"/>
      <c r="S31" s="174"/>
      <c r="T31" s="174"/>
      <c r="U31" s="174"/>
      <c r="V31" s="131"/>
      <c r="W31" s="187"/>
    </row>
    <row r="32" spans="1:23" s="132" customFormat="1" ht="31.5">
      <c r="A32" s="136" t="s">
        <v>285</v>
      </c>
      <c r="B32" s="161" t="s">
        <v>263</v>
      </c>
      <c r="C32" s="133" t="s">
        <v>261</v>
      </c>
      <c r="D32" s="174">
        <f aca="true" t="shared" si="4" ref="D32:W32">SUM(D33:D42)</f>
        <v>0</v>
      </c>
      <c r="E32" s="174">
        <f t="shared" si="4"/>
        <v>0</v>
      </c>
      <c r="F32" s="174">
        <f t="shared" si="4"/>
        <v>11.075000000000001</v>
      </c>
      <c r="G32" s="174">
        <f t="shared" si="4"/>
        <v>11.075000000000001</v>
      </c>
      <c r="H32" s="131">
        <f t="shared" si="4"/>
        <v>0</v>
      </c>
      <c r="I32" s="131">
        <f t="shared" si="4"/>
        <v>0</v>
      </c>
      <c r="J32" s="131">
        <f t="shared" si="4"/>
        <v>0</v>
      </c>
      <c r="K32" s="131">
        <f t="shared" si="4"/>
        <v>0</v>
      </c>
      <c r="L32" s="131">
        <f t="shared" si="4"/>
        <v>0</v>
      </c>
      <c r="M32" s="131">
        <f t="shared" si="4"/>
        <v>0</v>
      </c>
      <c r="N32" s="131">
        <f t="shared" si="4"/>
        <v>0</v>
      </c>
      <c r="O32" s="131">
        <f t="shared" si="4"/>
        <v>0</v>
      </c>
      <c r="P32" s="131">
        <f t="shared" si="4"/>
        <v>0</v>
      </c>
      <c r="Q32" s="131">
        <f t="shared" si="4"/>
        <v>0</v>
      </c>
      <c r="R32" s="131">
        <f t="shared" si="4"/>
        <v>0</v>
      </c>
      <c r="S32" s="174">
        <f t="shared" si="4"/>
        <v>0</v>
      </c>
      <c r="T32" s="174">
        <f t="shared" si="4"/>
        <v>13.857039057799998</v>
      </c>
      <c r="U32" s="174">
        <f t="shared" si="4"/>
        <v>13.015256098999998</v>
      </c>
      <c r="V32" s="131">
        <f t="shared" si="4"/>
        <v>0</v>
      </c>
      <c r="W32" s="187">
        <f t="shared" si="4"/>
        <v>0</v>
      </c>
    </row>
    <row r="33" spans="1:23" s="168" customFormat="1" ht="31.5">
      <c r="A33" s="188" t="s">
        <v>285</v>
      </c>
      <c r="B33" s="169" t="s">
        <v>631</v>
      </c>
      <c r="C33" s="172" t="s">
        <v>572</v>
      </c>
      <c r="D33" s="166"/>
      <c r="E33" s="166"/>
      <c r="F33" s="166">
        <f>4!J35</f>
        <v>0.784</v>
      </c>
      <c r="G33" s="166">
        <f>4!Q35</f>
        <v>0.784</v>
      </c>
      <c r="H33" s="166"/>
      <c r="I33" s="166"/>
      <c r="J33" s="166"/>
      <c r="K33" s="166"/>
      <c r="L33" s="166"/>
      <c r="M33" s="166"/>
      <c r="N33" s="166"/>
      <c r="O33" s="166"/>
      <c r="P33" s="166"/>
      <c r="Q33" s="166"/>
      <c r="R33" s="166"/>
      <c r="S33" s="166"/>
      <c r="T33" s="166">
        <f>2!I29</f>
        <v>0.7716063778</v>
      </c>
      <c r="U33" s="466">
        <f>2!L29</f>
        <v>0.7680000028</v>
      </c>
      <c r="V33" s="167"/>
      <c r="W33" s="189"/>
    </row>
    <row r="34" spans="1:23" s="168" customFormat="1" ht="31.5">
      <c r="A34" s="188" t="s">
        <v>285</v>
      </c>
      <c r="B34" s="169" t="s">
        <v>632</v>
      </c>
      <c r="C34" s="172" t="s">
        <v>573</v>
      </c>
      <c r="D34" s="166"/>
      <c r="E34" s="166"/>
      <c r="F34" s="166">
        <f>4!J36</f>
        <v>0.367</v>
      </c>
      <c r="G34" s="166">
        <f>4!Q36</f>
        <v>0.367</v>
      </c>
      <c r="H34" s="166"/>
      <c r="I34" s="166"/>
      <c r="J34" s="166"/>
      <c r="K34" s="166"/>
      <c r="L34" s="166"/>
      <c r="M34" s="166"/>
      <c r="N34" s="166"/>
      <c r="O34" s="166"/>
      <c r="P34" s="166"/>
      <c r="Q34" s="166"/>
      <c r="R34" s="166"/>
      <c r="S34" s="166"/>
      <c r="T34" s="166">
        <f>2!I30</f>
        <v>0.4861599999999999</v>
      </c>
      <c r="U34" s="466">
        <f>2!L30</f>
        <v>0.48600000379999997</v>
      </c>
      <c r="V34" s="167"/>
      <c r="W34" s="189"/>
    </row>
    <row r="35" spans="1:23" s="168" customFormat="1" ht="31.5">
      <c r="A35" s="188" t="s">
        <v>285</v>
      </c>
      <c r="B35" s="169" t="s">
        <v>633</v>
      </c>
      <c r="C35" s="172" t="s">
        <v>574</v>
      </c>
      <c r="D35" s="166"/>
      <c r="E35" s="166"/>
      <c r="F35" s="166">
        <f>4!J37</f>
        <v>2.35</v>
      </c>
      <c r="G35" s="166">
        <f>4!Q37</f>
        <v>2.35</v>
      </c>
      <c r="H35" s="166"/>
      <c r="I35" s="166"/>
      <c r="J35" s="166"/>
      <c r="K35" s="166"/>
      <c r="L35" s="166"/>
      <c r="M35" s="166"/>
      <c r="N35" s="166"/>
      <c r="O35" s="166"/>
      <c r="P35" s="166"/>
      <c r="Q35" s="166"/>
      <c r="R35" s="166"/>
      <c r="S35" s="166"/>
      <c r="T35" s="166">
        <f>2!I31</f>
        <v>2.64906</v>
      </c>
      <c r="U35" s="466">
        <f>2!L31</f>
        <v>2.6056469011999996</v>
      </c>
      <c r="V35" s="167"/>
      <c r="W35" s="189"/>
    </row>
    <row r="36" spans="1:23" s="168" customFormat="1" ht="31.5">
      <c r="A36" s="188" t="s">
        <v>285</v>
      </c>
      <c r="B36" s="169" t="s">
        <v>634</v>
      </c>
      <c r="C36" s="172" t="s">
        <v>575</v>
      </c>
      <c r="D36" s="166"/>
      <c r="E36" s="166"/>
      <c r="F36" s="166">
        <f>4!J38</f>
        <v>2.26</v>
      </c>
      <c r="G36" s="166">
        <f>4!Q38</f>
        <v>2.26</v>
      </c>
      <c r="H36" s="166"/>
      <c r="I36" s="166"/>
      <c r="J36" s="166"/>
      <c r="K36" s="166"/>
      <c r="L36" s="166"/>
      <c r="M36" s="166"/>
      <c r="N36" s="166"/>
      <c r="O36" s="166"/>
      <c r="P36" s="166"/>
      <c r="Q36" s="166"/>
      <c r="R36" s="166"/>
      <c r="S36" s="166"/>
      <c r="T36" s="166">
        <f>2!I32</f>
        <v>2.6557161600000003</v>
      </c>
      <c r="U36" s="466">
        <f>2!L32</f>
        <v>2.4219060921999995</v>
      </c>
      <c r="V36" s="167"/>
      <c r="W36" s="189"/>
    </row>
    <row r="37" spans="1:23" s="168" customFormat="1" ht="31.5">
      <c r="A37" s="188" t="s">
        <v>285</v>
      </c>
      <c r="B37" s="169" t="s">
        <v>635</v>
      </c>
      <c r="C37" s="172" t="s">
        <v>576</v>
      </c>
      <c r="D37" s="166"/>
      <c r="E37" s="166"/>
      <c r="F37" s="166">
        <f>4!J39</f>
        <v>0.836</v>
      </c>
      <c r="G37" s="166">
        <f>4!Q39</f>
        <v>0.836</v>
      </c>
      <c r="H37" s="166"/>
      <c r="I37" s="166"/>
      <c r="J37" s="166"/>
      <c r="K37" s="166"/>
      <c r="L37" s="166"/>
      <c r="M37" s="166"/>
      <c r="N37" s="166"/>
      <c r="O37" s="166"/>
      <c r="P37" s="166"/>
      <c r="Q37" s="166"/>
      <c r="R37" s="166"/>
      <c r="S37" s="166"/>
      <c r="T37" s="166">
        <f>2!I33</f>
        <v>1.29092</v>
      </c>
      <c r="U37" s="466">
        <f>2!L33</f>
        <v>1.2295327184</v>
      </c>
      <c r="V37" s="167"/>
      <c r="W37" s="189"/>
    </row>
    <row r="38" spans="1:23" s="168" customFormat="1" ht="31.5">
      <c r="A38" s="188" t="s">
        <v>285</v>
      </c>
      <c r="B38" s="169" t="s">
        <v>636</v>
      </c>
      <c r="C38" s="172" t="s">
        <v>577</v>
      </c>
      <c r="D38" s="166"/>
      <c r="E38" s="166"/>
      <c r="F38" s="166">
        <f>4!J40</f>
        <v>2.02</v>
      </c>
      <c r="G38" s="166">
        <f>4!Q40</f>
        <v>2.02</v>
      </c>
      <c r="H38" s="166"/>
      <c r="I38" s="166"/>
      <c r="J38" s="166"/>
      <c r="K38" s="166"/>
      <c r="L38" s="166"/>
      <c r="M38" s="166"/>
      <c r="N38" s="166"/>
      <c r="O38" s="166"/>
      <c r="P38" s="166"/>
      <c r="Q38" s="166"/>
      <c r="R38" s="166"/>
      <c r="S38" s="166"/>
      <c r="T38" s="166">
        <f>2!I34</f>
        <v>2.6963</v>
      </c>
      <c r="U38" s="466">
        <f>2!L34</f>
        <v>2.5235556464</v>
      </c>
      <c r="V38" s="167"/>
      <c r="W38" s="189"/>
    </row>
    <row r="39" spans="1:23" s="168" customFormat="1" ht="31.5">
      <c r="A39" s="188" t="s">
        <v>285</v>
      </c>
      <c r="B39" s="169" t="s">
        <v>637</v>
      </c>
      <c r="C39" s="172" t="s">
        <v>578</v>
      </c>
      <c r="D39" s="166"/>
      <c r="E39" s="166"/>
      <c r="F39" s="166">
        <f>4!J41</f>
        <v>0.502</v>
      </c>
      <c r="G39" s="166">
        <f>4!Q41</f>
        <v>0.502</v>
      </c>
      <c r="H39" s="166"/>
      <c r="I39" s="166"/>
      <c r="J39" s="166"/>
      <c r="K39" s="166"/>
      <c r="L39" s="166"/>
      <c r="M39" s="166"/>
      <c r="N39" s="166"/>
      <c r="O39" s="166"/>
      <c r="P39" s="166"/>
      <c r="Q39" s="166"/>
      <c r="R39" s="166"/>
      <c r="S39" s="166"/>
      <c r="T39" s="166">
        <f>2!I35</f>
        <v>0.7351399999999999</v>
      </c>
      <c r="U39" s="466">
        <f>2!L35</f>
        <v>0.7159035455999999</v>
      </c>
      <c r="V39" s="167"/>
      <c r="W39" s="189"/>
    </row>
    <row r="40" spans="1:23" s="168" customFormat="1" ht="31.5">
      <c r="A40" s="188" t="s">
        <v>285</v>
      </c>
      <c r="B40" s="169" t="s">
        <v>638</v>
      </c>
      <c r="C40" s="172" t="s">
        <v>579</v>
      </c>
      <c r="D40" s="166"/>
      <c r="E40" s="166"/>
      <c r="F40" s="166">
        <f>4!J42</f>
        <v>1.12</v>
      </c>
      <c r="G40" s="166">
        <f>4!Q42</f>
        <v>1.12</v>
      </c>
      <c r="H40" s="166"/>
      <c r="I40" s="166"/>
      <c r="J40" s="166"/>
      <c r="K40" s="166"/>
      <c r="L40" s="166"/>
      <c r="M40" s="166"/>
      <c r="N40" s="166"/>
      <c r="O40" s="166"/>
      <c r="P40" s="166"/>
      <c r="Q40" s="166"/>
      <c r="R40" s="166"/>
      <c r="S40" s="166"/>
      <c r="T40" s="166">
        <f>2!I36</f>
        <v>1.4971399999999997</v>
      </c>
      <c r="U40" s="466">
        <f>2!L36</f>
        <v>1.2082256589999998</v>
      </c>
      <c r="V40" s="167"/>
      <c r="W40" s="189"/>
    </row>
    <row r="41" spans="1:23" s="168" customFormat="1" ht="31.5">
      <c r="A41" s="188" t="s">
        <v>285</v>
      </c>
      <c r="B41" s="169" t="s">
        <v>639</v>
      </c>
      <c r="C41" s="172" t="s">
        <v>580</v>
      </c>
      <c r="D41" s="166"/>
      <c r="E41" s="166"/>
      <c r="F41" s="166">
        <f>4!J43</f>
        <v>0.836</v>
      </c>
      <c r="G41" s="166">
        <f>4!Q43</f>
        <v>0.836</v>
      </c>
      <c r="H41" s="166"/>
      <c r="I41" s="166"/>
      <c r="J41" s="166"/>
      <c r="K41" s="166"/>
      <c r="L41" s="166"/>
      <c r="M41" s="166"/>
      <c r="N41" s="166"/>
      <c r="O41" s="166"/>
      <c r="P41" s="166"/>
      <c r="Q41" s="166"/>
      <c r="R41" s="166"/>
      <c r="S41" s="166"/>
      <c r="T41" s="166">
        <f>2!I37</f>
        <v>1.07499652</v>
      </c>
      <c r="U41" s="466">
        <f>2!L37</f>
        <v>1.0564855296</v>
      </c>
      <c r="V41" s="167"/>
      <c r="W41" s="189"/>
    </row>
    <row r="42" spans="1:23" s="168" customFormat="1" ht="9.75" customHeight="1">
      <c r="A42" s="188"/>
      <c r="B42" s="130"/>
      <c r="C42" s="165"/>
      <c r="D42" s="166"/>
      <c r="E42" s="166"/>
      <c r="F42" s="166"/>
      <c r="G42" s="166"/>
      <c r="H42" s="166"/>
      <c r="I42" s="166"/>
      <c r="J42" s="166"/>
      <c r="K42" s="166"/>
      <c r="L42" s="166"/>
      <c r="M42" s="166"/>
      <c r="N42" s="166"/>
      <c r="O42" s="166"/>
      <c r="P42" s="166"/>
      <c r="Q42" s="166"/>
      <c r="R42" s="166"/>
      <c r="S42" s="166"/>
      <c r="T42" s="166"/>
      <c r="U42" s="166"/>
      <c r="V42" s="167"/>
      <c r="W42" s="189"/>
    </row>
    <row r="43" spans="1:23" s="168" customFormat="1" ht="15.75">
      <c r="A43" s="190" t="s">
        <v>286</v>
      </c>
      <c r="B43" s="161" t="s">
        <v>262</v>
      </c>
      <c r="C43" s="173" t="s">
        <v>261</v>
      </c>
      <c r="D43" s="174">
        <f aca="true" t="shared" si="5" ref="D43:W43">SUM(D44:D45)</f>
        <v>0</v>
      </c>
      <c r="E43" s="174">
        <f t="shared" si="5"/>
        <v>0</v>
      </c>
      <c r="F43" s="174">
        <f t="shared" si="5"/>
        <v>0</v>
      </c>
      <c r="G43" s="174">
        <f t="shared" si="5"/>
        <v>0</v>
      </c>
      <c r="H43" s="174">
        <f t="shared" si="5"/>
        <v>0</v>
      </c>
      <c r="I43" s="174">
        <f t="shared" si="5"/>
        <v>0</v>
      </c>
      <c r="J43" s="174">
        <f t="shared" si="5"/>
        <v>0</v>
      </c>
      <c r="K43" s="174">
        <f t="shared" si="5"/>
        <v>0</v>
      </c>
      <c r="L43" s="174">
        <f t="shared" si="5"/>
        <v>0</v>
      </c>
      <c r="M43" s="174">
        <f t="shared" si="5"/>
        <v>0</v>
      </c>
      <c r="N43" s="174">
        <f t="shared" si="5"/>
        <v>0</v>
      </c>
      <c r="O43" s="174">
        <f t="shared" si="5"/>
        <v>0</v>
      </c>
      <c r="P43" s="174">
        <f t="shared" si="5"/>
        <v>0</v>
      </c>
      <c r="Q43" s="174">
        <f t="shared" si="5"/>
        <v>0</v>
      </c>
      <c r="R43" s="174">
        <f t="shared" si="5"/>
        <v>0</v>
      </c>
      <c r="S43" s="174">
        <f t="shared" si="5"/>
        <v>0</v>
      </c>
      <c r="T43" s="174">
        <f t="shared" si="5"/>
        <v>0.7198</v>
      </c>
      <c r="U43" s="174">
        <f t="shared" si="5"/>
        <v>0.9488705916</v>
      </c>
      <c r="V43" s="174">
        <f t="shared" si="5"/>
        <v>0</v>
      </c>
      <c r="W43" s="191">
        <f t="shared" si="5"/>
        <v>0</v>
      </c>
    </row>
    <row r="44" spans="1:23" s="168" customFormat="1" ht="31.5">
      <c r="A44" s="188" t="s">
        <v>286</v>
      </c>
      <c r="B44" s="169" t="s">
        <v>640</v>
      </c>
      <c r="C44" s="172" t="s">
        <v>581</v>
      </c>
      <c r="D44" s="166"/>
      <c r="E44" s="166"/>
      <c r="F44" s="166"/>
      <c r="G44" s="166"/>
      <c r="H44" s="166"/>
      <c r="I44" s="166"/>
      <c r="J44" s="166"/>
      <c r="K44" s="166"/>
      <c r="L44" s="166"/>
      <c r="M44" s="166"/>
      <c r="N44" s="166"/>
      <c r="O44" s="166"/>
      <c r="P44" s="166"/>
      <c r="Q44" s="166"/>
      <c r="R44" s="166"/>
      <c r="S44" s="166"/>
      <c r="T44" s="166">
        <f>2!I40</f>
        <v>0.7198</v>
      </c>
      <c r="U44" s="466">
        <f>2!L40</f>
        <v>0.9488705916</v>
      </c>
      <c r="V44" s="167"/>
      <c r="W44" s="189"/>
    </row>
    <row r="45" spans="1:23" s="168" customFormat="1" ht="10.5" customHeight="1">
      <c r="A45" s="188"/>
      <c r="B45" s="130"/>
      <c r="C45" s="165"/>
      <c r="D45" s="166"/>
      <c r="E45" s="166"/>
      <c r="F45" s="166"/>
      <c r="G45" s="166"/>
      <c r="H45" s="166"/>
      <c r="I45" s="166"/>
      <c r="J45" s="166"/>
      <c r="K45" s="166"/>
      <c r="L45" s="166"/>
      <c r="M45" s="166"/>
      <c r="N45" s="166"/>
      <c r="O45" s="166"/>
      <c r="P45" s="166"/>
      <c r="Q45" s="166"/>
      <c r="R45" s="166"/>
      <c r="S45" s="166"/>
      <c r="T45" s="166"/>
      <c r="U45" s="166"/>
      <c r="V45" s="167"/>
      <c r="W45" s="189"/>
    </row>
    <row r="46" spans="1:23" s="168" customFormat="1" ht="15.75">
      <c r="A46" s="190" t="s">
        <v>266</v>
      </c>
      <c r="B46" s="175" t="s">
        <v>265</v>
      </c>
      <c r="C46" s="173" t="s">
        <v>261</v>
      </c>
      <c r="D46" s="174">
        <f>SUM(D47:D49)</f>
        <v>0</v>
      </c>
      <c r="E46" s="174">
        <f aca="true" t="shared" si="6" ref="E46:W46">SUM(E47:E49)</f>
        <v>0</v>
      </c>
      <c r="F46" s="174">
        <f t="shared" si="6"/>
        <v>0</v>
      </c>
      <c r="G46" s="174">
        <f t="shared" si="6"/>
        <v>0</v>
      </c>
      <c r="H46" s="174">
        <f t="shared" si="6"/>
        <v>0</v>
      </c>
      <c r="I46" s="174">
        <f t="shared" si="6"/>
        <v>0</v>
      </c>
      <c r="J46" s="174">
        <f t="shared" si="6"/>
        <v>0</v>
      </c>
      <c r="K46" s="174">
        <f t="shared" si="6"/>
        <v>0</v>
      </c>
      <c r="L46" s="174">
        <f t="shared" si="6"/>
        <v>0</v>
      </c>
      <c r="M46" s="174">
        <f t="shared" si="6"/>
        <v>0</v>
      </c>
      <c r="N46" s="174">
        <f t="shared" si="6"/>
        <v>0</v>
      </c>
      <c r="O46" s="174">
        <f t="shared" si="6"/>
        <v>0</v>
      </c>
      <c r="P46" s="174">
        <f t="shared" si="6"/>
        <v>0</v>
      </c>
      <c r="Q46" s="174">
        <f t="shared" si="6"/>
        <v>0</v>
      </c>
      <c r="R46" s="174">
        <f t="shared" si="6"/>
        <v>0</v>
      </c>
      <c r="S46" s="174">
        <f t="shared" si="6"/>
        <v>0</v>
      </c>
      <c r="T46" s="174">
        <f>SUM(T47:T49)</f>
        <v>2.969534</v>
      </c>
      <c r="U46" s="174">
        <f t="shared" si="6"/>
        <v>2.8616836475999996</v>
      </c>
      <c r="V46" s="174">
        <f t="shared" si="6"/>
        <v>0</v>
      </c>
      <c r="W46" s="191">
        <f t="shared" si="6"/>
        <v>0</v>
      </c>
    </row>
    <row r="47" spans="1:23" s="168" customFormat="1" ht="15.75">
      <c r="A47" s="188" t="s">
        <v>266</v>
      </c>
      <c r="B47" s="164" t="s">
        <v>641</v>
      </c>
      <c r="C47" s="172" t="s">
        <v>582</v>
      </c>
      <c r="D47" s="166"/>
      <c r="E47" s="166"/>
      <c r="F47" s="166"/>
      <c r="G47" s="166"/>
      <c r="H47" s="166"/>
      <c r="I47" s="166"/>
      <c r="J47" s="166"/>
      <c r="K47" s="166"/>
      <c r="L47" s="166"/>
      <c r="M47" s="166"/>
      <c r="N47" s="166"/>
      <c r="O47" s="166"/>
      <c r="P47" s="166"/>
      <c r="Q47" s="166"/>
      <c r="R47" s="166"/>
      <c r="S47" s="166"/>
      <c r="T47" s="166">
        <f>2!I43</f>
        <v>1.299534</v>
      </c>
      <c r="U47" s="466">
        <f>2!L43</f>
        <v>1.2453206464</v>
      </c>
      <c r="V47" s="167"/>
      <c r="W47" s="189"/>
    </row>
    <row r="48" spans="1:23" s="168" customFormat="1" ht="15.75">
      <c r="A48" s="188" t="s">
        <v>266</v>
      </c>
      <c r="B48" s="164" t="s">
        <v>267</v>
      </c>
      <c r="C48" s="172" t="s">
        <v>583</v>
      </c>
      <c r="D48" s="166"/>
      <c r="E48" s="166"/>
      <c r="F48" s="166"/>
      <c r="G48" s="166"/>
      <c r="H48" s="166"/>
      <c r="I48" s="166"/>
      <c r="J48" s="166"/>
      <c r="K48" s="166"/>
      <c r="L48" s="166"/>
      <c r="M48" s="166"/>
      <c r="N48" s="166"/>
      <c r="O48" s="166"/>
      <c r="P48" s="166"/>
      <c r="Q48" s="166"/>
      <c r="R48" s="166"/>
      <c r="S48" s="166"/>
      <c r="T48" s="166">
        <f>2!I44</f>
        <v>1.67</v>
      </c>
      <c r="U48" s="466">
        <f>2!L44</f>
        <v>1.6163630011999999</v>
      </c>
      <c r="V48" s="167"/>
      <c r="W48" s="189"/>
    </row>
    <row r="49" spans="1:23" s="168" customFormat="1" ht="7.5" customHeight="1">
      <c r="A49" s="188"/>
      <c r="B49" s="130"/>
      <c r="C49" s="165"/>
      <c r="D49" s="166"/>
      <c r="E49" s="166"/>
      <c r="F49" s="166"/>
      <c r="G49" s="166"/>
      <c r="H49" s="166"/>
      <c r="I49" s="166"/>
      <c r="J49" s="166"/>
      <c r="K49" s="166"/>
      <c r="L49" s="166"/>
      <c r="M49" s="166"/>
      <c r="N49" s="166"/>
      <c r="O49" s="166"/>
      <c r="P49" s="166"/>
      <c r="Q49" s="166"/>
      <c r="R49" s="166"/>
      <c r="S49" s="166"/>
      <c r="T49" s="166"/>
      <c r="U49" s="166"/>
      <c r="V49" s="167"/>
      <c r="W49" s="189"/>
    </row>
    <row r="50" spans="1:23" s="168" customFormat="1" ht="15.75">
      <c r="A50" s="190" t="s">
        <v>264</v>
      </c>
      <c r="B50" s="161" t="s">
        <v>614</v>
      </c>
      <c r="C50" s="173" t="s">
        <v>261</v>
      </c>
      <c r="D50" s="174">
        <f>SUM(D94:D95)</f>
        <v>0</v>
      </c>
      <c r="E50" s="174">
        <f>SUM(E94:E95)</f>
        <v>0</v>
      </c>
      <c r="F50" s="174">
        <f>F51+F53</f>
        <v>7.872</v>
      </c>
      <c r="G50" s="174">
        <f>G51+G53</f>
        <v>7.872</v>
      </c>
      <c r="H50" s="174">
        <f aca="true" t="shared" si="7" ref="H50:S50">SUM(H94:H95)</f>
        <v>0</v>
      </c>
      <c r="I50" s="174">
        <f t="shared" si="7"/>
        <v>0</v>
      </c>
      <c r="J50" s="174">
        <f t="shared" si="7"/>
        <v>0</v>
      </c>
      <c r="K50" s="174">
        <f t="shared" si="7"/>
        <v>0</v>
      </c>
      <c r="L50" s="174">
        <f t="shared" si="7"/>
        <v>0</v>
      </c>
      <c r="M50" s="174">
        <f t="shared" si="7"/>
        <v>0</v>
      </c>
      <c r="N50" s="174">
        <f t="shared" si="7"/>
        <v>0</v>
      </c>
      <c r="O50" s="174">
        <f t="shared" si="7"/>
        <v>0</v>
      </c>
      <c r="P50" s="174">
        <f t="shared" si="7"/>
        <v>0</v>
      </c>
      <c r="Q50" s="174">
        <f t="shared" si="7"/>
        <v>0</v>
      </c>
      <c r="R50" s="174">
        <f t="shared" si="7"/>
        <v>0</v>
      </c>
      <c r="S50" s="174">
        <f t="shared" si="7"/>
        <v>0</v>
      </c>
      <c r="T50" s="174">
        <f>T51+T53</f>
        <v>19.9770376152</v>
      </c>
      <c r="U50" s="174">
        <f>U51+U53</f>
        <v>20.1779536202</v>
      </c>
      <c r="V50" s="174">
        <f>SUM(V94:V95)</f>
        <v>0</v>
      </c>
      <c r="W50" s="191">
        <f>SUM(W94:W95)</f>
        <v>0</v>
      </c>
    </row>
    <row r="51" spans="1:23" s="168" customFormat="1" ht="15.75">
      <c r="A51" s="190" t="s">
        <v>616</v>
      </c>
      <c r="B51" s="161" t="s">
        <v>615</v>
      </c>
      <c r="C51" s="173" t="s">
        <v>261</v>
      </c>
      <c r="D51" s="174"/>
      <c r="E51" s="174"/>
      <c r="F51" s="174">
        <f>F52</f>
        <v>2.244</v>
      </c>
      <c r="G51" s="174">
        <f>SUM(G52:G52)</f>
        <v>2.244</v>
      </c>
      <c r="H51" s="174"/>
      <c r="I51" s="174"/>
      <c r="J51" s="174"/>
      <c r="K51" s="174"/>
      <c r="L51" s="174"/>
      <c r="M51" s="174"/>
      <c r="N51" s="174"/>
      <c r="O51" s="174"/>
      <c r="P51" s="174"/>
      <c r="Q51" s="174"/>
      <c r="R51" s="174"/>
      <c r="S51" s="174"/>
      <c r="T51" s="174">
        <f>T52</f>
        <v>7.42196984</v>
      </c>
      <c r="U51" s="174">
        <f>U52</f>
        <v>7.622885845</v>
      </c>
      <c r="V51" s="174"/>
      <c r="W51" s="191"/>
    </row>
    <row r="52" spans="1:23" s="168" customFormat="1" ht="31.5">
      <c r="A52" s="321" t="s">
        <v>617</v>
      </c>
      <c r="B52" s="322" t="s">
        <v>642</v>
      </c>
      <c r="C52" s="500" t="s">
        <v>584</v>
      </c>
      <c r="D52" s="174"/>
      <c r="E52" s="174"/>
      <c r="F52" s="166">
        <f>4!J54</f>
        <v>2.244</v>
      </c>
      <c r="G52" s="166">
        <f>4!Q54</f>
        <v>2.244</v>
      </c>
      <c r="H52" s="174"/>
      <c r="I52" s="174"/>
      <c r="J52" s="174"/>
      <c r="K52" s="174"/>
      <c r="L52" s="174"/>
      <c r="M52" s="174"/>
      <c r="N52" s="174"/>
      <c r="O52" s="174"/>
      <c r="P52" s="174"/>
      <c r="Q52" s="174"/>
      <c r="R52" s="174"/>
      <c r="S52" s="174"/>
      <c r="T52" s="166">
        <f>2!I48</f>
        <v>7.42196984</v>
      </c>
      <c r="U52" s="466">
        <f>2!L48</f>
        <v>7.622885845</v>
      </c>
      <c r="V52" s="174"/>
      <c r="W52" s="191"/>
    </row>
    <row r="53" spans="1:23" s="392" customFormat="1" ht="15.75">
      <c r="A53" s="190" t="s">
        <v>619</v>
      </c>
      <c r="B53" s="389" t="s">
        <v>618</v>
      </c>
      <c r="C53" s="501"/>
      <c r="D53" s="390"/>
      <c r="E53" s="390"/>
      <c r="F53" s="174">
        <f>SUM(F54:F90)</f>
        <v>5.628</v>
      </c>
      <c r="G53" s="174">
        <f>SUM(G54:G90)</f>
        <v>5.628</v>
      </c>
      <c r="H53" s="390"/>
      <c r="I53" s="390"/>
      <c r="J53" s="390"/>
      <c r="K53" s="390"/>
      <c r="L53" s="390"/>
      <c r="M53" s="390"/>
      <c r="N53" s="390"/>
      <c r="O53" s="390"/>
      <c r="P53" s="390"/>
      <c r="Q53" s="390"/>
      <c r="R53" s="390"/>
      <c r="S53" s="390"/>
      <c r="T53" s="174">
        <f>SUM(T54:T90)</f>
        <v>12.555067775200001</v>
      </c>
      <c r="U53" s="174">
        <f>SUM(U54:U90)</f>
        <v>12.555067775200001</v>
      </c>
      <c r="V53" s="390"/>
      <c r="W53" s="391"/>
    </row>
    <row r="54" spans="1:23" s="168" customFormat="1" ht="31.5">
      <c r="A54" s="321" t="s">
        <v>620</v>
      </c>
      <c r="B54" s="322" t="s">
        <v>643</v>
      </c>
      <c r="C54" s="500" t="s">
        <v>727</v>
      </c>
      <c r="D54" s="174"/>
      <c r="E54" s="174"/>
      <c r="F54" s="166">
        <f>4!J56</f>
        <v>0.235</v>
      </c>
      <c r="G54" s="166">
        <f>4!Q56</f>
        <v>0.235</v>
      </c>
      <c r="H54" s="174"/>
      <c r="I54" s="174"/>
      <c r="J54" s="174"/>
      <c r="K54" s="174"/>
      <c r="L54" s="174"/>
      <c r="M54" s="174"/>
      <c r="N54" s="174"/>
      <c r="O54" s="174"/>
      <c r="P54" s="174"/>
      <c r="Q54" s="174"/>
      <c r="R54" s="174"/>
      <c r="S54" s="174"/>
      <c r="T54" s="467">
        <f>U54</f>
        <v>0.1894922824</v>
      </c>
      <c r="U54" s="467">
        <f>2!L50</f>
        <v>0.1894922824</v>
      </c>
      <c r="V54" s="174"/>
      <c r="W54" s="191"/>
    </row>
    <row r="55" spans="1:23" s="168" customFormat="1" ht="31.5">
      <c r="A55" s="321" t="s">
        <v>621</v>
      </c>
      <c r="B55" s="322" t="s">
        <v>678</v>
      </c>
      <c r="C55" s="500" t="s">
        <v>728</v>
      </c>
      <c r="D55" s="174"/>
      <c r="E55" s="174"/>
      <c r="F55" s="166">
        <f>4!J57</f>
        <v>0.143</v>
      </c>
      <c r="G55" s="166">
        <f>4!Q57</f>
        <v>0.143</v>
      </c>
      <c r="H55" s="174"/>
      <c r="I55" s="174"/>
      <c r="J55" s="174"/>
      <c r="K55" s="174"/>
      <c r="L55" s="174"/>
      <c r="M55" s="174"/>
      <c r="N55" s="174"/>
      <c r="O55" s="174"/>
      <c r="P55" s="174"/>
      <c r="Q55" s="174"/>
      <c r="R55" s="174"/>
      <c r="S55" s="174"/>
      <c r="T55" s="467">
        <f>U55</f>
        <v>0.1978808434</v>
      </c>
      <c r="U55" s="467">
        <f>2!L51</f>
        <v>0.1978808434</v>
      </c>
      <c r="V55" s="174"/>
      <c r="W55" s="191"/>
    </row>
    <row r="56" spans="1:23" s="168" customFormat="1" ht="31.5">
      <c r="A56" s="321" t="s">
        <v>622</v>
      </c>
      <c r="B56" s="322" t="s">
        <v>679</v>
      </c>
      <c r="C56" s="500" t="s">
        <v>729</v>
      </c>
      <c r="D56" s="174"/>
      <c r="E56" s="174"/>
      <c r="F56" s="166">
        <f>4!J58</f>
        <v>0.143</v>
      </c>
      <c r="G56" s="166">
        <f>4!Q58</f>
        <v>0.143</v>
      </c>
      <c r="H56" s="174"/>
      <c r="I56" s="174"/>
      <c r="J56" s="174"/>
      <c r="K56" s="174"/>
      <c r="L56" s="174"/>
      <c r="M56" s="174"/>
      <c r="N56" s="174"/>
      <c r="O56" s="174"/>
      <c r="P56" s="174"/>
      <c r="Q56" s="174"/>
      <c r="R56" s="174"/>
      <c r="S56" s="174"/>
      <c r="T56" s="467">
        <f aca="true" t="shared" si="8" ref="T56:T90">U56</f>
        <v>0.1763001656</v>
      </c>
      <c r="U56" s="467">
        <f>2!L52</f>
        <v>0.1763001656</v>
      </c>
      <c r="V56" s="174"/>
      <c r="W56" s="191"/>
    </row>
    <row r="57" spans="1:23" s="168" customFormat="1" ht="15.75">
      <c r="A57" s="321" t="s">
        <v>644</v>
      </c>
      <c r="B57" s="322" t="s">
        <v>680</v>
      </c>
      <c r="C57" s="500" t="s">
        <v>730</v>
      </c>
      <c r="D57" s="174"/>
      <c r="E57" s="174"/>
      <c r="F57" s="166"/>
      <c r="G57" s="166"/>
      <c r="H57" s="174"/>
      <c r="I57" s="174"/>
      <c r="J57" s="174"/>
      <c r="K57" s="174"/>
      <c r="L57" s="174"/>
      <c r="M57" s="174"/>
      <c r="N57" s="174"/>
      <c r="O57" s="174"/>
      <c r="P57" s="174"/>
      <c r="Q57" s="174"/>
      <c r="R57" s="174"/>
      <c r="S57" s="174"/>
      <c r="T57" s="467">
        <f t="shared" si="8"/>
        <v>0.9733345522</v>
      </c>
      <c r="U57" s="467">
        <f>2!L53</f>
        <v>0.9733345522</v>
      </c>
      <c r="V57" s="174"/>
      <c r="W57" s="191"/>
    </row>
    <row r="58" spans="1:23" s="168" customFormat="1" ht="31.5">
      <c r="A58" s="321" t="s">
        <v>645</v>
      </c>
      <c r="B58" s="322" t="s">
        <v>681</v>
      </c>
      <c r="C58" s="500" t="s">
        <v>731</v>
      </c>
      <c r="D58" s="174"/>
      <c r="E58" s="174"/>
      <c r="F58" s="166">
        <f>4!J60</f>
        <v>0.11</v>
      </c>
      <c r="G58" s="166">
        <f>4!Q60</f>
        <v>0.11</v>
      </c>
      <c r="H58" s="174"/>
      <c r="I58" s="174"/>
      <c r="J58" s="174"/>
      <c r="K58" s="174"/>
      <c r="L58" s="174"/>
      <c r="M58" s="174"/>
      <c r="N58" s="174"/>
      <c r="O58" s="174"/>
      <c r="P58" s="174"/>
      <c r="Q58" s="174"/>
      <c r="R58" s="174"/>
      <c r="S58" s="174"/>
      <c r="T58" s="467">
        <f t="shared" si="8"/>
        <v>0.0999055968</v>
      </c>
      <c r="U58" s="467">
        <f>2!L54</f>
        <v>0.0999055968</v>
      </c>
      <c r="V58" s="174"/>
      <c r="W58" s="191"/>
    </row>
    <row r="59" spans="1:23" s="168" customFormat="1" ht="15.75">
      <c r="A59" s="321" t="s">
        <v>646</v>
      </c>
      <c r="B59" s="322" t="s">
        <v>682</v>
      </c>
      <c r="C59" s="500" t="s">
        <v>732</v>
      </c>
      <c r="D59" s="174"/>
      <c r="E59" s="174"/>
      <c r="F59" s="166">
        <f>4!J61</f>
        <v>0.918</v>
      </c>
      <c r="G59" s="166">
        <f>4!Q61</f>
        <v>0.918</v>
      </c>
      <c r="H59" s="174"/>
      <c r="I59" s="174"/>
      <c r="J59" s="174"/>
      <c r="K59" s="174"/>
      <c r="L59" s="174"/>
      <c r="M59" s="174"/>
      <c r="N59" s="174"/>
      <c r="O59" s="174"/>
      <c r="P59" s="174"/>
      <c r="Q59" s="174"/>
      <c r="R59" s="174"/>
      <c r="S59" s="174"/>
      <c r="T59" s="467">
        <f t="shared" si="8"/>
        <v>2.3962422958</v>
      </c>
      <c r="U59" s="467">
        <f>2!L55</f>
        <v>2.3962422958</v>
      </c>
      <c r="V59" s="174"/>
      <c r="W59" s="191"/>
    </row>
    <row r="60" spans="1:23" s="168" customFormat="1" ht="31.5">
      <c r="A60" s="321" t="s">
        <v>647</v>
      </c>
      <c r="B60" s="322" t="s">
        <v>683</v>
      </c>
      <c r="C60" s="500" t="s">
        <v>733</v>
      </c>
      <c r="D60" s="174"/>
      <c r="E60" s="174"/>
      <c r="F60" s="166">
        <f>4!J62</f>
        <v>0.061</v>
      </c>
      <c r="G60" s="166">
        <f>4!Q62</f>
        <v>0.061</v>
      </c>
      <c r="H60" s="174"/>
      <c r="I60" s="174"/>
      <c r="J60" s="174"/>
      <c r="K60" s="174"/>
      <c r="L60" s="174"/>
      <c r="M60" s="174"/>
      <c r="N60" s="174"/>
      <c r="O60" s="174"/>
      <c r="P60" s="174"/>
      <c r="Q60" s="174"/>
      <c r="R60" s="174"/>
      <c r="S60" s="174"/>
      <c r="T60" s="467">
        <f t="shared" si="8"/>
        <v>0.16625404679999997</v>
      </c>
      <c r="U60" s="467">
        <f>2!L56</f>
        <v>0.16625404679999997</v>
      </c>
      <c r="V60" s="174"/>
      <c r="W60" s="191"/>
    </row>
    <row r="61" spans="1:23" s="168" customFormat="1" ht="31.5">
      <c r="A61" s="321" t="s">
        <v>648</v>
      </c>
      <c r="B61" s="322" t="s">
        <v>684</v>
      </c>
      <c r="C61" s="500" t="s">
        <v>734</v>
      </c>
      <c r="D61" s="174"/>
      <c r="E61" s="174"/>
      <c r="F61" s="166">
        <f>4!J63</f>
        <v>0.061</v>
      </c>
      <c r="G61" s="166">
        <f>4!Q63</f>
        <v>0.061</v>
      </c>
      <c r="H61" s="174"/>
      <c r="I61" s="174"/>
      <c r="J61" s="174"/>
      <c r="K61" s="174"/>
      <c r="L61" s="174"/>
      <c r="M61" s="174"/>
      <c r="N61" s="174"/>
      <c r="O61" s="174"/>
      <c r="P61" s="174"/>
      <c r="Q61" s="174"/>
      <c r="R61" s="174"/>
      <c r="S61" s="174"/>
      <c r="T61" s="467">
        <f t="shared" si="8"/>
        <v>0.13101367719999998</v>
      </c>
      <c r="U61" s="467">
        <f>2!L57</f>
        <v>0.13101367719999998</v>
      </c>
      <c r="V61" s="174"/>
      <c r="W61" s="191"/>
    </row>
    <row r="62" spans="1:23" s="168" customFormat="1" ht="15.75">
      <c r="A62" s="321" t="s">
        <v>649</v>
      </c>
      <c r="B62" s="322" t="s">
        <v>685</v>
      </c>
      <c r="C62" s="500" t="s">
        <v>735</v>
      </c>
      <c r="D62" s="174"/>
      <c r="E62" s="174"/>
      <c r="F62" s="166"/>
      <c r="G62" s="166"/>
      <c r="H62" s="174"/>
      <c r="I62" s="174"/>
      <c r="J62" s="174"/>
      <c r="K62" s="174"/>
      <c r="L62" s="174"/>
      <c r="M62" s="174"/>
      <c r="N62" s="174"/>
      <c r="O62" s="174"/>
      <c r="P62" s="174"/>
      <c r="Q62" s="174"/>
      <c r="R62" s="174"/>
      <c r="S62" s="174"/>
      <c r="T62" s="467">
        <f t="shared" si="8"/>
        <v>1.2286749174</v>
      </c>
      <c r="U62" s="467">
        <f>2!L58</f>
        <v>1.2286749174</v>
      </c>
      <c r="V62" s="174"/>
      <c r="W62" s="191"/>
    </row>
    <row r="63" spans="1:23" s="168" customFormat="1" ht="31.5">
      <c r="A63" s="321" t="s">
        <v>650</v>
      </c>
      <c r="B63" s="322" t="s">
        <v>686</v>
      </c>
      <c r="C63" s="500" t="s">
        <v>736</v>
      </c>
      <c r="D63" s="174"/>
      <c r="E63" s="174"/>
      <c r="F63" s="166">
        <f>4!J65</f>
        <v>0.245</v>
      </c>
      <c r="G63" s="166">
        <f>4!Q65</f>
        <v>0.245</v>
      </c>
      <c r="H63" s="174"/>
      <c r="I63" s="174"/>
      <c r="J63" s="174"/>
      <c r="K63" s="174"/>
      <c r="L63" s="174"/>
      <c r="M63" s="174"/>
      <c r="N63" s="174"/>
      <c r="O63" s="174"/>
      <c r="P63" s="174"/>
      <c r="Q63" s="174"/>
      <c r="R63" s="174"/>
      <c r="S63" s="174"/>
      <c r="T63" s="467">
        <f t="shared" si="8"/>
        <v>0.44961452679999997</v>
      </c>
      <c r="U63" s="467">
        <f>2!L59</f>
        <v>0.44961452679999997</v>
      </c>
      <c r="V63" s="174"/>
      <c r="W63" s="191"/>
    </row>
    <row r="64" spans="1:23" s="168" customFormat="1" ht="31.5">
      <c r="A64" s="321" t="s">
        <v>651</v>
      </c>
      <c r="B64" s="322" t="s">
        <v>687</v>
      </c>
      <c r="C64" s="500" t="s">
        <v>737</v>
      </c>
      <c r="D64" s="174"/>
      <c r="E64" s="174"/>
      <c r="F64" s="166">
        <f>4!J66</f>
        <v>0.245</v>
      </c>
      <c r="G64" s="166">
        <f>4!Q66</f>
        <v>0.245</v>
      </c>
      <c r="H64" s="174"/>
      <c r="I64" s="174"/>
      <c r="J64" s="174"/>
      <c r="K64" s="174"/>
      <c r="L64" s="174"/>
      <c r="M64" s="174"/>
      <c r="N64" s="174"/>
      <c r="O64" s="174"/>
      <c r="P64" s="174"/>
      <c r="Q64" s="174"/>
      <c r="R64" s="174"/>
      <c r="S64" s="174"/>
      <c r="T64" s="467">
        <f t="shared" si="8"/>
        <v>0.337243764</v>
      </c>
      <c r="U64" s="467">
        <f>2!L60</f>
        <v>0.337243764</v>
      </c>
      <c r="V64" s="174"/>
      <c r="W64" s="191"/>
    </row>
    <row r="65" spans="1:23" s="168" customFormat="1" ht="15.75">
      <c r="A65" s="321" t="s">
        <v>652</v>
      </c>
      <c r="B65" s="322" t="s">
        <v>688</v>
      </c>
      <c r="C65" s="500" t="s">
        <v>738</v>
      </c>
      <c r="D65" s="174"/>
      <c r="E65" s="174"/>
      <c r="F65" s="166"/>
      <c r="G65" s="166"/>
      <c r="H65" s="174"/>
      <c r="I65" s="174"/>
      <c r="J65" s="174"/>
      <c r="K65" s="174"/>
      <c r="L65" s="174"/>
      <c r="M65" s="174"/>
      <c r="N65" s="174"/>
      <c r="O65" s="174"/>
      <c r="P65" s="174"/>
      <c r="Q65" s="174"/>
      <c r="R65" s="174"/>
      <c r="S65" s="174"/>
      <c r="T65" s="467">
        <f t="shared" si="8"/>
        <v>1.0775656396</v>
      </c>
      <c r="U65" s="467">
        <f>2!L61</f>
        <v>1.0775656396</v>
      </c>
      <c r="V65" s="174"/>
      <c r="W65" s="191"/>
    </row>
    <row r="66" spans="1:23" s="168" customFormat="1" ht="31.5">
      <c r="A66" s="321" t="s">
        <v>653</v>
      </c>
      <c r="B66" s="322" t="s">
        <v>689</v>
      </c>
      <c r="C66" s="500" t="s">
        <v>739</v>
      </c>
      <c r="D66" s="174"/>
      <c r="E66" s="174"/>
      <c r="F66" s="166">
        <f>4!J68</f>
        <v>0.408</v>
      </c>
      <c r="G66" s="166">
        <f>4!Q68</f>
        <v>0.408</v>
      </c>
      <c r="H66" s="174"/>
      <c r="I66" s="174"/>
      <c r="J66" s="174"/>
      <c r="K66" s="174"/>
      <c r="L66" s="174"/>
      <c r="M66" s="174"/>
      <c r="N66" s="174"/>
      <c r="O66" s="174"/>
      <c r="P66" s="174"/>
      <c r="Q66" s="174"/>
      <c r="R66" s="174"/>
      <c r="S66" s="174"/>
      <c r="T66" s="467">
        <f t="shared" si="8"/>
        <v>0.20086124019999999</v>
      </c>
      <c r="U66" s="467">
        <f>2!L62</f>
        <v>0.20086124019999999</v>
      </c>
      <c r="V66" s="174"/>
      <c r="W66" s="191"/>
    </row>
    <row r="67" spans="1:23" s="168" customFormat="1" ht="31.5">
      <c r="A67" s="321" t="s">
        <v>654</v>
      </c>
      <c r="B67" s="322" t="s">
        <v>690</v>
      </c>
      <c r="C67" s="500" t="s">
        <v>740</v>
      </c>
      <c r="D67" s="174"/>
      <c r="E67" s="174"/>
      <c r="F67" s="166">
        <f>4!J69</f>
        <v>0.143</v>
      </c>
      <c r="G67" s="166">
        <f>4!Q69</f>
        <v>0.143</v>
      </c>
      <c r="H67" s="174"/>
      <c r="I67" s="174"/>
      <c r="J67" s="174"/>
      <c r="K67" s="174"/>
      <c r="L67" s="174"/>
      <c r="M67" s="174"/>
      <c r="N67" s="174"/>
      <c r="O67" s="174"/>
      <c r="P67" s="174"/>
      <c r="Q67" s="174"/>
      <c r="R67" s="174"/>
      <c r="S67" s="174"/>
      <c r="T67" s="467">
        <f t="shared" si="8"/>
        <v>0.1110671224</v>
      </c>
      <c r="U67" s="467">
        <f>2!L63</f>
        <v>0.1110671224</v>
      </c>
      <c r="V67" s="174"/>
      <c r="W67" s="191"/>
    </row>
    <row r="68" spans="1:23" s="168" customFormat="1" ht="31.5">
      <c r="A68" s="321" t="s">
        <v>655</v>
      </c>
      <c r="B68" s="322" t="s">
        <v>691</v>
      </c>
      <c r="C68" s="500" t="s">
        <v>741</v>
      </c>
      <c r="D68" s="174"/>
      <c r="E68" s="174"/>
      <c r="F68" s="166">
        <f>4!J70</f>
        <v>0.143</v>
      </c>
      <c r="G68" s="166">
        <f>4!Q70</f>
        <v>0.143</v>
      </c>
      <c r="H68" s="174"/>
      <c r="I68" s="174"/>
      <c r="J68" s="174"/>
      <c r="K68" s="174"/>
      <c r="L68" s="174"/>
      <c r="M68" s="174"/>
      <c r="N68" s="174"/>
      <c r="O68" s="174"/>
      <c r="P68" s="174"/>
      <c r="Q68" s="174"/>
      <c r="R68" s="174"/>
      <c r="S68" s="174"/>
      <c r="T68" s="467">
        <f t="shared" si="8"/>
        <v>0.0904478968</v>
      </c>
      <c r="U68" s="467">
        <f>2!L64</f>
        <v>0.0904478968</v>
      </c>
      <c r="V68" s="174"/>
      <c r="W68" s="191"/>
    </row>
    <row r="69" spans="1:23" s="168" customFormat="1" ht="31.5">
      <c r="A69" s="321" t="s">
        <v>656</v>
      </c>
      <c r="B69" s="322" t="s">
        <v>692</v>
      </c>
      <c r="C69" s="500" t="s">
        <v>742</v>
      </c>
      <c r="D69" s="174"/>
      <c r="E69" s="174"/>
      <c r="F69" s="166">
        <f>4!J71</f>
        <v>0.04</v>
      </c>
      <c r="G69" s="166">
        <f>4!Q71</f>
        <v>0.04</v>
      </c>
      <c r="H69" s="174"/>
      <c r="I69" s="174"/>
      <c r="J69" s="174"/>
      <c r="K69" s="174"/>
      <c r="L69" s="174"/>
      <c r="M69" s="174"/>
      <c r="N69" s="174"/>
      <c r="O69" s="174"/>
      <c r="P69" s="174"/>
      <c r="Q69" s="174"/>
      <c r="R69" s="174"/>
      <c r="S69" s="174"/>
      <c r="T69" s="467">
        <f t="shared" si="8"/>
        <v>0.05238506</v>
      </c>
      <c r="U69" s="467">
        <f>2!L65</f>
        <v>0.05238506</v>
      </c>
      <c r="V69" s="174"/>
      <c r="W69" s="191"/>
    </row>
    <row r="70" spans="1:23" s="168" customFormat="1" ht="31.5">
      <c r="A70" s="321" t="s">
        <v>657</v>
      </c>
      <c r="B70" s="322" t="s">
        <v>693</v>
      </c>
      <c r="C70" s="500" t="s">
        <v>743</v>
      </c>
      <c r="D70" s="174"/>
      <c r="E70" s="174"/>
      <c r="F70" s="166">
        <f>4!J72</f>
        <v>0.035</v>
      </c>
      <c r="G70" s="166">
        <f>4!Q72</f>
        <v>0.035</v>
      </c>
      <c r="H70" s="174"/>
      <c r="I70" s="174"/>
      <c r="J70" s="174"/>
      <c r="K70" s="174"/>
      <c r="L70" s="174"/>
      <c r="M70" s="174"/>
      <c r="N70" s="174"/>
      <c r="O70" s="174"/>
      <c r="P70" s="174"/>
      <c r="Q70" s="174"/>
      <c r="R70" s="174"/>
      <c r="S70" s="174"/>
      <c r="T70" s="467">
        <f t="shared" si="8"/>
        <v>0.04696934</v>
      </c>
      <c r="U70" s="467">
        <f>2!L66</f>
        <v>0.04696934</v>
      </c>
      <c r="V70" s="174"/>
      <c r="W70" s="191"/>
    </row>
    <row r="71" spans="1:23" s="168" customFormat="1" ht="31.5">
      <c r="A71" s="321" t="s">
        <v>658</v>
      </c>
      <c r="B71" s="322" t="s">
        <v>694</v>
      </c>
      <c r="C71" s="500" t="s">
        <v>744</v>
      </c>
      <c r="D71" s="174"/>
      <c r="E71" s="174"/>
      <c r="F71" s="166">
        <f>4!J73</f>
        <v>0.035</v>
      </c>
      <c r="G71" s="166">
        <f>4!Q73</f>
        <v>0.035</v>
      </c>
      <c r="H71" s="174"/>
      <c r="I71" s="174"/>
      <c r="J71" s="174"/>
      <c r="K71" s="174"/>
      <c r="L71" s="174"/>
      <c r="M71" s="174"/>
      <c r="N71" s="174"/>
      <c r="O71" s="174"/>
      <c r="P71" s="174"/>
      <c r="Q71" s="174"/>
      <c r="R71" s="174"/>
      <c r="S71" s="174"/>
      <c r="T71" s="467">
        <f t="shared" si="8"/>
        <v>0.04273267</v>
      </c>
      <c r="U71" s="467">
        <f>2!L67</f>
        <v>0.04273267</v>
      </c>
      <c r="V71" s="174"/>
      <c r="W71" s="191"/>
    </row>
    <row r="72" spans="1:23" s="168" customFormat="1" ht="31.5">
      <c r="A72" s="321" t="s">
        <v>659</v>
      </c>
      <c r="B72" s="322" t="s">
        <v>695</v>
      </c>
      <c r="C72" s="500" t="s">
        <v>745</v>
      </c>
      <c r="D72" s="174"/>
      <c r="E72" s="174"/>
      <c r="F72" s="166">
        <f>4!J74</f>
        <v>0.035</v>
      </c>
      <c r="G72" s="166">
        <f>4!Q74</f>
        <v>0.035</v>
      </c>
      <c r="H72" s="174"/>
      <c r="I72" s="174"/>
      <c r="J72" s="174"/>
      <c r="K72" s="174"/>
      <c r="L72" s="174"/>
      <c r="M72" s="174"/>
      <c r="N72" s="174"/>
      <c r="O72" s="174"/>
      <c r="P72" s="174"/>
      <c r="Q72" s="174"/>
      <c r="R72" s="174"/>
      <c r="S72" s="174"/>
      <c r="T72" s="467">
        <f t="shared" si="8"/>
        <v>0.04273267</v>
      </c>
      <c r="U72" s="467">
        <f>2!L68</f>
        <v>0.04273267</v>
      </c>
      <c r="V72" s="174"/>
      <c r="W72" s="191"/>
    </row>
    <row r="73" spans="1:23" s="168" customFormat="1" ht="31.5">
      <c r="A73" s="321" t="s">
        <v>660</v>
      </c>
      <c r="B73" s="322" t="s">
        <v>696</v>
      </c>
      <c r="C73" s="500" t="s">
        <v>746</v>
      </c>
      <c r="D73" s="174"/>
      <c r="E73" s="174"/>
      <c r="F73" s="166">
        <f>4!J75</f>
        <v>0.19</v>
      </c>
      <c r="G73" s="166">
        <f>4!Q75</f>
        <v>0.19</v>
      </c>
      <c r="H73" s="174"/>
      <c r="I73" s="174"/>
      <c r="J73" s="174"/>
      <c r="K73" s="174"/>
      <c r="L73" s="174"/>
      <c r="M73" s="174"/>
      <c r="N73" s="174"/>
      <c r="O73" s="174"/>
      <c r="P73" s="174"/>
      <c r="Q73" s="174"/>
      <c r="R73" s="174"/>
      <c r="S73" s="174"/>
      <c r="T73" s="467">
        <f t="shared" si="8"/>
        <v>0.17617151</v>
      </c>
      <c r="U73" s="467">
        <f>2!L69</f>
        <v>0.17617151</v>
      </c>
      <c r="V73" s="174"/>
      <c r="W73" s="191"/>
    </row>
    <row r="74" spans="1:23" s="168" customFormat="1" ht="31.5">
      <c r="A74" s="321" t="s">
        <v>661</v>
      </c>
      <c r="B74" s="322" t="s">
        <v>697</v>
      </c>
      <c r="C74" s="500" t="s">
        <v>747</v>
      </c>
      <c r="D74" s="174"/>
      <c r="E74" s="174"/>
      <c r="F74" s="166">
        <f>4!J76</f>
        <v>0.14</v>
      </c>
      <c r="G74" s="166">
        <f>4!Q76</f>
        <v>0.14</v>
      </c>
      <c r="H74" s="174"/>
      <c r="I74" s="174"/>
      <c r="J74" s="174"/>
      <c r="K74" s="174"/>
      <c r="L74" s="174"/>
      <c r="M74" s="174"/>
      <c r="N74" s="174"/>
      <c r="O74" s="174"/>
      <c r="P74" s="174"/>
      <c r="Q74" s="174"/>
      <c r="R74" s="174"/>
      <c r="S74" s="174"/>
      <c r="T74" s="467">
        <f t="shared" si="8"/>
        <v>0.13190507</v>
      </c>
      <c r="U74" s="467">
        <f>2!L70</f>
        <v>0.13190507</v>
      </c>
      <c r="V74" s="174"/>
      <c r="W74" s="191"/>
    </row>
    <row r="75" spans="1:23" s="168" customFormat="1" ht="31.5">
      <c r="A75" s="321" t="s">
        <v>662</v>
      </c>
      <c r="B75" s="322" t="s">
        <v>698</v>
      </c>
      <c r="C75" s="500" t="s">
        <v>748</v>
      </c>
      <c r="D75" s="174"/>
      <c r="E75" s="174"/>
      <c r="F75" s="166">
        <f>4!J77</f>
        <v>0.06</v>
      </c>
      <c r="G75" s="166">
        <f>4!Q77</f>
        <v>0.06</v>
      </c>
      <c r="H75" s="174"/>
      <c r="I75" s="174"/>
      <c r="J75" s="174"/>
      <c r="K75" s="174"/>
      <c r="L75" s="174"/>
      <c r="M75" s="174"/>
      <c r="N75" s="174"/>
      <c r="O75" s="174"/>
      <c r="P75" s="174"/>
      <c r="Q75" s="174"/>
      <c r="R75" s="174"/>
      <c r="S75" s="174"/>
      <c r="T75" s="467">
        <f t="shared" si="8"/>
        <v>0.07768097</v>
      </c>
      <c r="U75" s="467">
        <f>2!L71</f>
        <v>0.07768097</v>
      </c>
      <c r="V75" s="174"/>
      <c r="W75" s="191"/>
    </row>
    <row r="76" spans="1:23" s="168" customFormat="1" ht="31.5">
      <c r="A76" s="321" t="s">
        <v>663</v>
      </c>
      <c r="B76" s="322" t="s">
        <v>699</v>
      </c>
      <c r="C76" s="500" t="s">
        <v>749</v>
      </c>
      <c r="D76" s="174"/>
      <c r="E76" s="174"/>
      <c r="F76" s="166">
        <f>4!J78</f>
        <v>0.1</v>
      </c>
      <c r="G76" s="166">
        <f>4!Q78</f>
        <v>0.1</v>
      </c>
      <c r="H76" s="174"/>
      <c r="I76" s="174"/>
      <c r="J76" s="174"/>
      <c r="K76" s="174"/>
      <c r="L76" s="174"/>
      <c r="M76" s="174"/>
      <c r="N76" s="174"/>
      <c r="O76" s="174"/>
      <c r="P76" s="174"/>
      <c r="Q76" s="174"/>
      <c r="R76" s="174"/>
      <c r="S76" s="174"/>
      <c r="T76" s="467">
        <f t="shared" si="8"/>
        <v>0.10803812</v>
      </c>
      <c r="U76" s="467">
        <f>2!L72</f>
        <v>0.10803812</v>
      </c>
      <c r="V76" s="174"/>
      <c r="W76" s="191"/>
    </row>
    <row r="77" spans="1:23" s="168" customFormat="1" ht="31.5">
      <c r="A77" s="321" t="s">
        <v>664</v>
      </c>
      <c r="B77" s="322" t="s">
        <v>700</v>
      </c>
      <c r="C77" s="500" t="s">
        <v>750</v>
      </c>
      <c r="D77" s="174"/>
      <c r="E77" s="174"/>
      <c r="F77" s="166">
        <f>4!J79</f>
        <v>0.11</v>
      </c>
      <c r="G77" s="166">
        <f>4!Q79</f>
        <v>0.11</v>
      </c>
      <c r="H77" s="174"/>
      <c r="I77" s="174"/>
      <c r="J77" s="174"/>
      <c r="K77" s="174"/>
      <c r="L77" s="174"/>
      <c r="M77" s="174"/>
      <c r="N77" s="174"/>
      <c r="O77" s="174"/>
      <c r="P77" s="174"/>
      <c r="Q77" s="174"/>
      <c r="R77" s="174"/>
      <c r="S77" s="174"/>
      <c r="T77" s="467">
        <f t="shared" si="8"/>
        <v>0.11052751</v>
      </c>
      <c r="U77" s="467">
        <f>2!L73</f>
        <v>0.11052751</v>
      </c>
      <c r="V77" s="174"/>
      <c r="W77" s="191"/>
    </row>
    <row r="78" spans="1:23" s="168" customFormat="1" ht="31.5">
      <c r="A78" s="321" t="s">
        <v>665</v>
      </c>
      <c r="B78" s="322" t="s">
        <v>701</v>
      </c>
      <c r="C78" s="500" t="s">
        <v>751</v>
      </c>
      <c r="D78" s="174"/>
      <c r="E78" s="174"/>
      <c r="F78" s="166">
        <f>4!J80</f>
        <v>0.215</v>
      </c>
      <c r="G78" s="166">
        <f>4!Q80</f>
        <v>0.215</v>
      </c>
      <c r="H78" s="174"/>
      <c r="I78" s="174"/>
      <c r="J78" s="174"/>
      <c r="K78" s="174"/>
      <c r="L78" s="174"/>
      <c r="M78" s="174"/>
      <c r="N78" s="174"/>
      <c r="O78" s="174"/>
      <c r="P78" s="174"/>
      <c r="Q78" s="174"/>
      <c r="R78" s="174"/>
      <c r="S78" s="174"/>
      <c r="T78" s="467">
        <f t="shared" si="8"/>
        <v>0.19531445</v>
      </c>
      <c r="U78" s="467">
        <f>2!L74</f>
        <v>0.19531445</v>
      </c>
      <c r="V78" s="174"/>
      <c r="W78" s="191"/>
    </row>
    <row r="79" spans="1:23" s="168" customFormat="1" ht="31.5">
      <c r="A79" s="321" t="s">
        <v>666</v>
      </c>
      <c r="B79" s="322" t="s">
        <v>702</v>
      </c>
      <c r="C79" s="500" t="s">
        <v>752</v>
      </c>
      <c r="D79" s="174"/>
      <c r="E79" s="174"/>
      <c r="F79" s="166">
        <f>4!J81</f>
        <v>0.071</v>
      </c>
      <c r="G79" s="166">
        <f>4!Q81</f>
        <v>0.071</v>
      </c>
      <c r="H79" s="174"/>
      <c r="I79" s="174"/>
      <c r="J79" s="174"/>
      <c r="K79" s="174"/>
      <c r="L79" s="174"/>
      <c r="M79" s="174"/>
      <c r="N79" s="174"/>
      <c r="O79" s="174"/>
      <c r="P79" s="174"/>
      <c r="Q79" s="174"/>
      <c r="R79" s="174"/>
      <c r="S79" s="174"/>
      <c r="T79" s="467">
        <f t="shared" si="8"/>
        <v>0.0300895752</v>
      </c>
      <c r="U79" s="467">
        <f>2!L75</f>
        <v>0.0300895752</v>
      </c>
      <c r="V79" s="174"/>
      <c r="W79" s="191"/>
    </row>
    <row r="80" spans="1:23" s="168" customFormat="1" ht="31.5">
      <c r="A80" s="321" t="s">
        <v>667</v>
      </c>
      <c r="B80" s="322" t="s">
        <v>703</v>
      </c>
      <c r="C80" s="500" t="s">
        <v>753</v>
      </c>
      <c r="D80" s="174"/>
      <c r="E80" s="174"/>
      <c r="F80" s="166">
        <f>4!J82</f>
        <v>0.025</v>
      </c>
      <c r="G80" s="166">
        <f>4!Q82</f>
        <v>0.025</v>
      </c>
      <c r="H80" s="174"/>
      <c r="I80" s="174"/>
      <c r="J80" s="174"/>
      <c r="K80" s="174"/>
      <c r="L80" s="174"/>
      <c r="M80" s="174"/>
      <c r="N80" s="174"/>
      <c r="O80" s="174"/>
      <c r="P80" s="174"/>
      <c r="Q80" s="174"/>
      <c r="R80" s="174"/>
      <c r="S80" s="174"/>
      <c r="T80" s="467">
        <f t="shared" si="8"/>
        <v>0.012943679599999999</v>
      </c>
      <c r="U80" s="467">
        <f>2!L76</f>
        <v>0.012943679599999999</v>
      </c>
      <c r="V80" s="174"/>
      <c r="W80" s="191"/>
    </row>
    <row r="81" spans="1:23" s="168" customFormat="1" ht="31.5">
      <c r="A81" s="321" t="s">
        <v>668</v>
      </c>
      <c r="B81" s="322" t="s">
        <v>704</v>
      </c>
      <c r="C81" s="500" t="s">
        <v>754</v>
      </c>
      <c r="D81" s="174"/>
      <c r="E81" s="174"/>
      <c r="F81" s="166">
        <f>4!J83</f>
        <v>0.107</v>
      </c>
      <c r="G81" s="166">
        <f>4!Q83</f>
        <v>0.107</v>
      </c>
      <c r="H81" s="174"/>
      <c r="I81" s="174"/>
      <c r="J81" s="174"/>
      <c r="K81" s="174"/>
      <c r="L81" s="174"/>
      <c r="M81" s="174"/>
      <c r="N81" s="174"/>
      <c r="O81" s="174"/>
      <c r="P81" s="174"/>
      <c r="Q81" s="174"/>
      <c r="R81" s="174"/>
      <c r="S81" s="174"/>
      <c r="T81" s="467">
        <f t="shared" si="8"/>
        <v>0.048633369600000004</v>
      </c>
      <c r="U81" s="467">
        <f>2!L77</f>
        <v>0.048633369600000004</v>
      </c>
      <c r="V81" s="174"/>
      <c r="W81" s="191"/>
    </row>
    <row r="82" spans="1:23" s="168" customFormat="1" ht="31.5">
      <c r="A82" s="321" t="s">
        <v>669</v>
      </c>
      <c r="B82" s="322" t="s">
        <v>705</v>
      </c>
      <c r="C82" s="500" t="s">
        <v>755</v>
      </c>
      <c r="D82" s="174"/>
      <c r="E82" s="174"/>
      <c r="F82" s="166">
        <f>4!J84</f>
        <v>0.102</v>
      </c>
      <c r="G82" s="166">
        <f>4!Q84</f>
        <v>0.102</v>
      </c>
      <c r="H82" s="174"/>
      <c r="I82" s="174"/>
      <c r="J82" s="174"/>
      <c r="K82" s="174"/>
      <c r="L82" s="174"/>
      <c r="M82" s="174"/>
      <c r="N82" s="174"/>
      <c r="O82" s="174"/>
      <c r="P82" s="174"/>
      <c r="Q82" s="174"/>
      <c r="R82" s="174"/>
      <c r="S82" s="174"/>
      <c r="T82" s="467">
        <f t="shared" si="8"/>
        <v>0.046671961799999995</v>
      </c>
      <c r="U82" s="467">
        <f>2!L78</f>
        <v>0.046671961799999995</v>
      </c>
      <c r="V82" s="174"/>
      <c r="W82" s="191"/>
    </row>
    <row r="83" spans="1:23" s="168" customFormat="1" ht="31.5">
      <c r="A83" s="321" t="s">
        <v>670</v>
      </c>
      <c r="B83" s="322" t="s">
        <v>706</v>
      </c>
      <c r="C83" s="500" t="s">
        <v>756</v>
      </c>
      <c r="D83" s="174"/>
      <c r="E83" s="174"/>
      <c r="F83" s="166">
        <f>4!J85</f>
        <v>0.186</v>
      </c>
      <c r="G83" s="166">
        <f>4!Q85</f>
        <v>0.186</v>
      </c>
      <c r="H83" s="174"/>
      <c r="I83" s="174"/>
      <c r="J83" s="174"/>
      <c r="K83" s="174"/>
      <c r="L83" s="174"/>
      <c r="M83" s="174"/>
      <c r="N83" s="174"/>
      <c r="O83" s="174"/>
      <c r="P83" s="174"/>
      <c r="Q83" s="174"/>
      <c r="R83" s="174"/>
      <c r="S83" s="174"/>
      <c r="T83" s="467">
        <f t="shared" si="8"/>
        <v>0.15343983679999998</v>
      </c>
      <c r="U83" s="467">
        <f>2!L79</f>
        <v>0.15343983679999998</v>
      </c>
      <c r="V83" s="174"/>
      <c r="W83" s="191"/>
    </row>
    <row r="84" spans="1:23" s="168" customFormat="1" ht="31.5">
      <c r="A84" s="321" t="s">
        <v>671</v>
      </c>
      <c r="B84" s="322" t="s">
        <v>707</v>
      </c>
      <c r="C84" s="500" t="s">
        <v>757</v>
      </c>
      <c r="D84" s="174"/>
      <c r="E84" s="174"/>
      <c r="F84" s="166">
        <f>4!J86</f>
        <v>0.1</v>
      </c>
      <c r="G84" s="166">
        <f>4!Q86</f>
        <v>0.1</v>
      </c>
      <c r="H84" s="174"/>
      <c r="I84" s="174"/>
      <c r="J84" s="174"/>
      <c r="K84" s="174"/>
      <c r="L84" s="174"/>
      <c r="M84" s="174"/>
      <c r="N84" s="174"/>
      <c r="O84" s="174"/>
      <c r="P84" s="174"/>
      <c r="Q84" s="174"/>
      <c r="R84" s="174"/>
      <c r="S84" s="174"/>
      <c r="T84" s="467">
        <f t="shared" si="8"/>
        <v>0.11731838</v>
      </c>
      <c r="U84" s="467">
        <f>2!L80</f>
        <v>0.11731838</v>
      </c>
      <c r="V84" s="174"/>
      <c r="W84" s="191"/>
    </row>
    <row r="85" spans="1:23" s="168" customFormat="1" ht="31.5">
      <c r="A85" s="321" t="s">
        <v>672</v>
      </c>
      <c r="B85" s="322" t="s">
        <v>708</v>
      </c>
      <c r="C85" s="500" t="s">
        <v>758</v>
      </c>
      <c r="D85" s="174"/>
      <c r="E85" s="174"/>
      <c r="F85" s="166">
        <f>4!J87</f>
        <v>0.035</v>
      </c>
      <c r="G85" s="166">
        <f>4!Q87</f>
        <v>0.035</v>
      </c>
      <c r="H85" s="174"/>
      <c r="I85" s="174"/>
      <c r="J85" s="174"/>
      <c r="K85" s="174"/>
      <c r="L85" s="174"/>
      <c r="M85" s="174"/>
      <c r="N85" s="174"/>
      <c r="O85" s="174"/>
      <c r="P85" s="174"/>
      <c r="Q85" s="174"/>
      <c r="R85" s="174"/>
      <c r="S85" s="174"/>
      <c r="T85" s="467">
        <f t="shared" si="8"/>
        <v>0.04696934</v>
      </c>
      <c r="U85" s="467">
        <f>2!L81</f>
        <v>0.04696934</v>
      </c>
      <c r="V85" s="174"/>
      <c r="W85" s="191"/>
    </row>
    <row r="86" spans="1:23" s="168" customFormat="1" ht="31.5">
      <c r="A86" s="321" t="s">
        <v>673</v>
      </c>
      <c r="B86" s="322" t="s">
        <v>709</v>
      </c>
      <c r="C86" s="500" t="s">
        <v>759</v>
      </c>
      <c r="D86" s="174"/>
      <c r="E86" s="174"/>
      <c r="F86" s="166">
        <f>4!J88</f>
        <v>0.05</v>
      </c>
      <c r="G86" s="166">
        <f>4!Q88</f>
        <v>0.05</v>
      </c>
      <c r="H86" s="174"/>
      <c r="I86" s="174"/>
      <c r="J86" s="174"/>
      <c r="K86" s="174"/>
      <c r="L86" s="174"/>
      <c r="M86" s="174"/>
      <c r="N86" s="174"/>
      <c r="O86" s="174"/>
      <c r="P86" s="174"/>
      <c r="Q86" s="174"/>
      <c r="R86" s="174"/>
      <c r="S86" s="174"/>
      <c r="T86" s="467">
        <f t="shared" si="8"/>
        <v>0.06008357</v>
      </c>
      <c r="U86" s="467">
        <f>2!L82</f>
        <v>0.06008357</v>
      </c>
      <c r="V86" s="174"/>
      <c r="W86" s="191"/>
    </row>
    <row r="87" spans="1:23" s="168" customFormat="1" ht="31.5">
      <c r="A87" s="321" t="s">
        <v>674</v>
      </c>
      <c r="B87" s="322" t="s">
        <v>710</v>
      </c>
      <c r="C87" s="500" t="s">
        <v>760</v>
      </c>
      <c r="D87" s="174"/>
      <c r="E87" s="174"/>
      <c r="F87" s="166">
        <f>4!J89</f>
        <v>0.17</v>
      </c>
      <c r="G87" s="166">
        <f>4!Q89</f>
        <v>0.17</v>
      </c>
      <c r="H87" s="174"/>
      <c r="I87" s="174"/>
      <c r="J87" s="174"/>
      <c r="K87" s="174"/>
      <c r="L87" s="174"/>
      <c r="M87" s="174"/>
      <c r="N87" s="174"/>
      <c r="O87" s="174"/>
      <c r="P87" s="174"/>
      <c r="Q87" s="174"/>
      <c r="R87" s="174"/>
      <c r="S87" s="174"/>
      <c r="T87" s="467">
        <f t="shared" si="8"/>
        <v>0.22782302</v>
      </c>
      <c r="U87" s="467">
        <f>2!L83</f>
        <v>0.22782302</v>
      </c>
      <c r="V87" s="174"/>
      <c r="W87" s="191"/>
    </row>
    <row r="88" spans="1:23" s="168" customFormat="1" ht="31.5">
      <c r="A88" s="321" t="s">
        <v>675</v>
      </c>
      <c r="B88" s="322" t="s">
        <v>711</v>
      </c>
      <c r="C88" s="500" t="s">
        <v>761</v>
      </c>
      <c r="D88" s="174"/>
      <c r="E88" s="174"/>
      <c r="F88" s="166">
        <f>4!J90</f>
        <v>0.08</v>
      </c>
      <c r="G88" s="166">
        <f>4!Q90</f>
        <v>0.08</v>
      </c>
      <c r="H88" s="174"/>
      <c r="I88" s="174"/>
      <c r="J88" s="174"/>
      <c r="K88" s="174"/>
      <c r="L88" s="174"/>
      <c r="M88" s="174"/>
      <c r="N88" s="174"/>
      <c r="O88" s="174"/>
      <c r="P88" s="174"/>
      <c r="Q88" s="174"/>
      <c r="R88" s="174"/>
      <c r="S88" s="174"/>
      <c r="T88" s="467">
        <f t="shared" si="8"/>
        <v>0.08915185</v>
      </c>
      <c r="U88" s="467">
        <f>2!L84</f>
        <v>0.08915185</v>
      </c>
      <c r="V88" s="174"/>
      <c r="W88" s="191"/>
    </row>
    <row r="89" spans="1:23" s="168" customFormat="1" ht="31.5">
      <c r="A89" s="321" t="s">
        <v>676</v>
      </c>
      <c r="B89" s="322" t="s">
        <v>712</v>
      </c>
      <c r="C89" s="500" t="s">
        <v>762</v>
      </c>
      <c r="D89" s="174"/>
      <c r="E89" s="174"/>
      <c r="F89" s="166">
        <f>4!J91</f>
        <v>0.887</v>
      </c>
      <c r="G89" s="166">
        <f>4!Q91</f>
        <v>0.887</v>
      </c>
      <c r="H89" s="174"/>
      <c r="I89" s="174"/>
      <c r="J89" s="174"/>
      <c r="K89" s="174"/>
      <c r="L89" s="174"/>
      <c r="M89" s="174"/>
      <c r="N89" s="174"/>
      <c r="O89" s="174"/>
      <c r="P89" s="174"/>
      <c r="Q89" s="174"/>
      <c r="R89" s="174"/>
      <c r="S89" s="174"/>
      <c r="T89" s="467">
        <f t="shared" si="8"/>
        <v>1.23239373</v>
      </c>
      <c r="U89" s="467">
        <f>2!L85</f>
        <v>1.23239373</v>
      </c>
      <c r="V89" s="174"/>
      <c r="W89" s="191"/>
    </row>
    <row r="90" spans="1:23" s="168" customFormat="1" ht="15.75">
      <c r="A90" s="321" t="s">
        <v>677</v>
      </c>
      <c r="B90" s="448" t="s">
        <v>713</v>
      </c>
      <c r="C90" s="500" t="s">
        <v>763</v>
      </c>
      <c r="D90" s="174"/>
      <c r="E90" s="174"/>
      <c r="F90" s="166"/>
      <c r="G90" s="166"/>
      <c r="H90" s="174"/>
      <c r="I90" s="174"/>
      <c r="J90" s="174"/>
      <c r="K90" s="174"/>
      <c r="L90" s="174"/>
      <c r="M90" s="174"/>
      <c r="N90" s="174"/>
      <c r="O90" s="174"/>
      <c r="P90" s="174"/>
      <c r="Q90" s="174"/>
      <c r="R90" s="174"/>
      <c r="S90" s="174"/>
      <c r="T90" s="467">
        <f t="shared" si="8"/>
        <v>1.6791935247999998</v>
      </c>
      <c r="U90" s="467">
        <f>2!L86</f>
        <v>1.6791935247999998</v>
      </c>
      <c r="V90" s="174"/>
      <c r="W90" s="191"/>
    </row>
    <row r="91" spans="1:23" s="168" customFormat="1" ht="16.5" thickBot="1">
      <c r="A91" s="380"/>
      <c r="B91" s="381"/>
      <c r="C91" s="382"/>
      <c r="D91" s="383"/>
      <c r="E91" s="383"/>
      <c r="F91" s="383"/>
      <c r="G91" s="478"/>
      <c r="H91" s="383"/>
      <c r="I91" s="383"/>
      <c r="J91" s="383"/>
      <c r="K91" s="383"/>
      <c r="L91" s="383"/>
      <c r="M91" s="383"/>
      <c r="N91" s="383"/>
      <c r="O91" s="383"/>
      <c r="P91" s="383"/>
      <c r="Q91" s="383"/>
      <c r="R91" s="383"/>
      <c r="S91" s="383"/>
      <c r="T91" s="383"/>
      <c r="U91" s="468"/>
      <c r="V91" s="383"/>
      <c r="W91" s="384"/>
    </row>
    <row r="92" spans="1:23" s="168" customFormat="1" ht="15.75">
      <c r="A92" s="385"/>
      <c r="B92" s="386"/>
      <c r="C92" s="387"/>
      <c r="D92" s="388"/>
      <c r="E92" s="388"/>
      <c r="F92" s="388"/>
      <c r="G92" s="185"/>
      <c r="H92" s="388"/>
      <c r="I92" s="388"/>
      <c r="J92" s="388"/>
      <c r="K92" s="388"/>
      <c r="L92" s="388"/>
      <c r="M92" s="388"/>
      <c r="N92" s="388"/>
      <c r="O92" s="388"/>
      <c r="P92" s="388"/>
      <c r="Q92" s="388"/>
      <c r="R92" s="388"/>
      <c r="S92" s="388"/>
      <c r="T92" s="388"/>
      <c r="U92" s="469"/>
      <c r="V92" s="388"/>
      <c r="W92" s="388"/>
    </row>
    <row r="93" spans="1:23" s="168" customFormat="1" ht="15.75">
      <c r="A93" s="385"/>
      <c r="B93" s="386"/>
      <c r="C93" s="387"/>
      <c r="D93" s="388"/>
      <c r="E93" s="388"/>
      <c r="F93" s="388"/>
      <c r="G93" s="185"/>
      <c r="H93" s="388"/>
      <c r="I93" s="388"/>
      <c r="J93" s="388"/>
      <c r="K93" s="388"/>
      <c r="L93" s="388"/>
      <c r="M93" s="388"/>
      <c r="N93" s="388"/>
      <c r="O93" s="388"/>
      <c r="P93" s="388"/>
      <c r="Q93" s="388"/>
      <c r="R93" s="388"/>
      <c r="S93" s="388"/>
      <c r="T93" s="388"/>
      <c r="U93" s="469"/>
      <c r="V93" s="388"/>
      <c r="W93" s="388"/>
    </row>
    <row r="94" spans="1:23" s="168" customFormat="1" ht="22.5" customHeight="1">
      <c r="A94" s="182"/>
      <c r="B94" s="183"/>
      <c r="C94" s="184"/>
      <c r="D94" s="185"/>
      <c r="E94" s="185"/>
      <c r="F94" s="185"/>
      <c r="G94" s="185"/>
      <c r="H94" s="185"/>
      <c r="I94" s="185"/>
      <c r="J94" s="185"/>
      <c r="K94" s="185"/>
      <c r="L94" s="185"/>
      <c r="M94" s="185"/>
      <c r="N94" s="185"/>
      <c r="O94" s="185"/>
      <c r="P94" s="185"/>
      <c r="Q94" s="185"/>
      <c r="R94" s="185"/>
      <c r="S94" s="185"/>
      <c r="T94" s="185"/>
      <c r="U94" s="185"/>
      <c r="V94" s="186"/>
      <c r="W94" s="186"/>
    </row>
    <row r="95" spans="1:23" s="168" customFormat="1" ht="15.75">
      <c r="A95" s="182"/>
      <c r="B95" s="183" t="s">
        <v>594</v>
      </c>
      <c r="C95" s="184"/>
      <c r="D95" s="185"/>
      <c r="E95" s="185"/>
      <c r="F95" s="185"/>
      <c r="G95" s="185"/>
      <c r="H95" s="185"/>
      <c r="I95" s="185"/>
      <c r="J95" s="185"/>
      <c r="K95" s="185"/>
      <c r="L95" s="185"/>
      <c r="M95" s="185"/>
      <c r="N95" s="185"/>
      <c r="O95" s="185"/>
      <c r="P95" s="185"/>
      <c r="Q95" s="185"/>
      <c r="R95" s="185"/>
      <c r="S95" s="185"/>
      <c r="T95" s="185"/>
      <c r="U95" s="185"/>
      <c r="V95" s="186"/>
      <c r="W95" s="186"/>
    </row>
  </sheetData>
  <sheetProtection/>
  <mergeCells count="30">
    <mergeCell ref="A1:W1"/>
    <mergeCell ref="A2:W2"/>
    <mergeCell ref="A3:W3"/>
    <mergeCell ref="H21:I21"/>
    <mergeCell ref="V20:W20"/>
    <mergeCell ref="D19:W19"/>
    <mergeCell ref="A19:A22"/>
    <mergeCell ref="V21:W21"/>
    <mergeCell ref="J20:M20"/>
    <mergeCell ref="A12:U12"/>
    <mergeCell ref="D20:E20"/>
    <mergeCell ref="F20:G20"/>
    <mergeCell ref="J21:K21"/>
    <mergeCell ref="R20:U20"/>
    <mergeCell ref="H20:I20"/>
    <mergeCell ref="N20:Q20"/>
    <mergeCell ref="T21:U21"/>
    <mergeCell ref="D21:E21"/>
    <mergeCell ref="F21:G21"/>
    <mergeCell ref="R21:S21"/>
    <mergeCell ref="U10:V10"/>
    <mergeCell ref="A11:U11"/>
    <mergeCell ref="A14:U14"/>
    <mergeCell ref="L21:M21"/>
    <mergeCell ref="N21:O21"/>
    <mergeCell ref="P21:Q21"/>
    <mergeCell ref="B19:B22"/>
    <mergeCell ref="C19:C22"/>
    <mergeCell ref="A15:U15"/>
    <mergeCell ref="A17:U17"/>
  </mergeCells>
  <printOptions/>
  <pageMargins left="0.3937007874015748" right="0.1968503937007874" top="0.15748031496062992" bottom="0.1968503937007874" header="0.11811023622047245" footer="0.11811023622047245"/>
  <pageSetup horizontalDpi="600" verticalDpi="600" orientation="portrait" paperSize="8" scale="76" r:id="rId1"/>
</worksheet>
</file>

<file path=xl/worksheets/sheet10.xml><?xml version="1.0" encoding="utf-8"?>
<worksheet xmlns="http://schemas.openxmlformats.org/spreadsheetml/2006/main" xmlns:r="http://schemas.openxmlformats.org/officeDocument/2006/relationships">
  <sheetPr>
    <tabColor rgb="FF92D050"/>
  </sheetPr>
  <dimension ref="A1:AS93"/>
  <sheetViews>
    <sheetView view="pageBreakPreview" zoomScale="70" zoomScaleSheetLayoutView="70" zoomScalePageLayoutView="0" workbookViewId="0" topLeftCell="A16">
      <selection activeCell="B70" sqref="B70"/>
    </sheetView>
  </sheetViews>
  <sheetFormatPr defaultColWidth="9.00390625" defaultRowHeight="15.75"/>
  <cols>
    <col min="1" max="1" width="6.875" style="7" customWidth="1"/>
    <col min="2" max="2" width="57.25390625" style="8" customWidth="1"/>
    <col min="3" max="3" width="13.75390625" style="8" customWidth="1"/>
    <col min="4" max="4" width="31.625" style="8" customWidth="1"/>
    <col min="5" max="5" width="18.00390625" style="8" customWidth="1"/>
    <col min="6" max="6" width="14.375" style="8" customWidth="1"/>
    <col min="7" max="7" width="46.375" style="8" customWidth="1"/>
    <col min="8" max="8" width="11.375" style="8" customWidth="1"/>
    <col min="9" max="9" width="11.25390625" style="8" customWidth="1"/>
    <col min="10" max="10" width="12.375" style="8" customWidth="1"/>
    <col min="11" max="11" width="10.625" style="8" customWidth="1"/>
    <col min="12" max="12" width="11.75390625" style="8" customWidth="1"/>
    <col min="13" max="13" width="28.375" style="8" customWidth="1"/>
    <col min="14" max="14" width="30.25390625" style="8" customWidth="1"/>
    <col min="15" max="15" width="15.125" style="8" customWidth="1"/>
    <col min="16" max="16" width="12.875" style="8" customWidth="1"/>
    <col min="17" max="17" width="13.00390625" style="8" customWidth="1"/>
    <col min="18" max="18" width="12.125" style="8" customWidth="1"/>
    <col min="19" max="19" width="10.125" style="10" customWidth="1"/>
    <col min="20" max="20" width="14.125" style="10" customWidth="1"/>
    <col min="21" max="21" width="7.125" style="10" customWidth="1"/>
    <col min="22" max="22" width="19.625" style="10" customWidth="1"/>
    <col min="23" max="23" width="15.125" style="10" customWidth="1"/>
    <col min="24" max="24" width="22.25390625" style="10" customWidth="1"/>
    <col min="25" max="25" width="23.625" style="10" customWidth="1"/>
    <col min="26" max="26" width="6.875" style="8" bestFit="1" customWidth="1"/>
    <col min="27" max="27" width="6.625" style="8" customWidth="1"/>
    <col min="28" max="28" width="8.125" style="8" customWidth="1"/>
    <col min="29" max="29" width="12.125" style="8" customWidth="1"/>
    <col min="30" max="16384" width="9.00390625" style="7" customWidth="1"/>
  </cols>
  <sheetData>
    <row r="1" spans="5:18" ht="15.75">
      <c r="E1" s="1"/>
      <c r="F1" s="1"/>
      <c r="G1" s="1"/>
      <c r="H1" s="1"/>
      <c r="I1" s="1"/>
      <c r="J1" s="1"/>
      <c r="K1" s="1"/>
      <c r="L1" s="1"/>
      <c r="M1" s="1"/>
      <c r="R1" s="250" t="s">
        <v>146</v>
      </c>
    </row>
    <row r="2" spans="5:18" ht="15.75">
      <c r="E2" s="1"/>
      <c r="F2" s="1"/>
      <c r="G2" s="1"/>
      <c r="H2" s="1"/>
      <c r="I2" s="1"/>
      <c r="J2" s="1"/>
      <c r="K2" s="1"/>
      <c r="L2" s="1"/>
      <c r="M2" s="1"/>
      <c r="R2" s="251" t="s">
        <v>423</v>
      </c>
    </row>
    <row r="3" spans="5:18" ht="15.75">
      <c r="E3" s="1"/>
      <c r="F3" s="1"/>
      <c r="G3" s="1"/>
      <c r="H3" s="1"/>
      <c r="I3" s="1"/>
      <c r="J3" s="1"/>
      <c r="K3" s="1"/>
      <c r="L3" s="1"/>
      <c r="M3" s="1"/>
      <c r="R3" s="251" t="s">
        <v>589</v>
      </c>
    </row>
    <row r="4" spans="5:18" ht="15.75">
      <c r="E4" s="1"/>
      <c r="F4" s="1"/>
      <c r="G4" s="1"/>
      <c r="H4" s="1"/>
      <c r="I4" s="1"/>
      <c r="J4" s="1"/>
      <c r="K4" s="1"/>
      <c r="L4" s="1"/>
      <c r="M4" s="1"/>
      <c r="R4" s="251"/>
    </row>
    <row r="5" spans="5:18" ht="15.75">
      <c r="E5" s="1"/>
      <c r="F5" s="1"/>
      <c r="G5" s="1"/>
      <c r="H5" s="1"/>
      <c r="I5" s="1"/>
      <c r="J5" s="1"/>
      <c r="K5" s="1"/>
      <c r="L5" s="1"/>
      <c r="M5" s="1"/>
      <c r="R5" s="251" t="s">
        <v>591</v>
      </c>
    </row>
    <row r="6" spans="5:18" ht="15.75">
      <c r="E6" s="1"/>
      <c r="F6" s="1"/>
      <c r="G6" s="1"/>
      <c r="H6" s="1"/>
      <c r="I6" s="1"/>
      <c r="J6" s="1"/>
      <c r="K6" s="1"/>
      <c r="L6" s="1"/>
      <c r="M6" s="1"/>
      <c r="R6" s="251" t="s">
        <v>592</v>
      </c>
    </row>
    <row r="7" spans="5:18" ht="15.75">
      <c r="E7" s="1"/>
      <c r="F7" s="1"/>
      <c r="G7" s="1"/>
      <c r="H7" s="1"/>
      <c r="I7" s="1"/>
      <c r="J7" s="1"/>
      <c r="K7" s="1"/>
      <c r="L7" s="1"/>
      <c r="M7" s="1"/>
      <c r="R7" s="251"/>
    </row>
    <row r="8" spans="5:18" ht="15.75">
      <c r="E8" s="1"/>
      <c r="F8" s="1"/>
      <c r="G8" s="1"/>
      <c r="H8" s="1"/>
      <c r="I8" s="1"/>
      <c r="J8" s="1"/>
      <c r="K8" s="1"/>
      <c r="L8" s="1"/>
      <c r="M8" s="1"/>
      <c r="R8" s="251" t="s">
        <v>723</v>
      </c>
    </row>
    <row r="9" spans="5:18" ht="15.75">
      <c r="E9" s="1"/>
      <c r="F9" s="1"/>
      <c r="G9" s="1"/>
      <c r="H9" s="1"/>
      <c r="I9" s="1"/>
      <c r="J9" s="1"/>
      <c r="K9" s="1"/>
      <c r="L9" s="1"/>
      <c r="M9" s="1"/>
      <c r="R9" s="251"/>
    </row>
    <row r="10" spans="5:18" ht="15.75">
      <c r="E10" s="1"/>
      <c r="F10" s="1"/>
      <c r="G10" s="1"/>
      <c r="H10" s="1"/>
      <c r="I10" s="1"/>
      <c r="J10" s="1"/>
      <c r="K10" s="1"/>
      <c r="L10" s="1"/>
      <c r="M10" s="1"/>
      <c r="P10" s="512" t="s">
        <v>593</v>
      </c>
      <c r="R10" s="251" t="s">
        <v>768</v>
      </c>
    </row>
    <row r="11" spans="5:18" ht="15.75">
      <c r="E11" s="1"/>
      <c r="F11" s="1"/>
      <c r="G11" s="1"/>
      <c r="H11" s="1"/>
      <c r="I11" s="1"/>
      <c r="J11" s="1"/>
      <c r="K11" s="1"/>
      <c r="L11" s="1"/>
      <c r="M11" s="1"/>
      <c r="P11" s="9"/>
      <c r="R11" s="251"/>
    </row>
    <row r="12" spans="1:18" ht="15.75">
      <c r="A12" s="629" t="s">
        <v>201</v>
      </c>
      <c r="B12" s="629"/>
      <c r="C12" s="629"/>
      <c r="D12" s="629"/>
      <c r="E12" s="629"/>
      <c r="F12" s="629"/>
      <c r="G12" s="629"/>
      <c r="H12" s="629"/>
      <c r="I12" s="629"/>
      <c r="J12" s="629"/>
      <c r="K12" s="629"/>
      <c r="L12" s="629"/>
      <c r="M12" s="629"/>
      <c r="N12" s="629"/>
      <c r="O12" s="629"/>
      <c r="P12" s="629"/>
      <c r="Q12" s="629"/>
      <c r="R12" s="629"/>
    </row>
    <row r="13" spans="1:45" ht="15.75">
      <c r="A13" s="663" t="str">
        <f>1!A14:U14</f>
        <v>Инвестиционная программа Филиала "Железноводские электрические сети" ООО "КЭУК".</v>
      </c>
      <c r="B13" s="663"/>
      <c r="C13" s="663"/>
      <c r="D13" s="663"/>
      <c r="E13" s="663"/>
      <c r="F13" s="663"/>
      <c r="G13" s="663"/>
      <c r="H13" s="663"/>
      <c r="I13" s="663"/>
      <c r="J13" s="663"/>
      <c r="K13" s="663"/>
      <c r="L13" s="663"/>
      <c r="M13" s="663"/>
      <c r="N13" s="663"/>
      <c r="O13" s="663"/>
      <c r="P13" s="663"/>
      <c r="Q13" s="663"/>
      <c r="R13" s="663"/>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row>
    <row r="14" spans="1:45" ht="15.75">
      <c r="A14" s="658" t="s">
        <v>109</v>
      </c>
      <c r="B14" s="658"/>
      <c r="C14" s="658"/>
      <c r="D14" s="658"/>
      <c r="E14" s="658"/>
      <c r="F14" s="658"/>
      <c r="G14" s="658"/>
      <c r="H14" s="658"/>
      <c r="I14" s="658"/>
      <c r="J14" s="658"/>
      <c r="K14" s="658"/>
      <c r="L14" s="658"/>
      <c r="M14" s="658"/>
      <c r="N14" s="658"/>
      <c r="O14" s="658"/>
      <c r="P14" s="658"/>
      <c r="Q14" s="658"/>
      <c r="R14" s="658"/>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row>
    <row r="15" spans="1:45" ht="15.75">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row>
    <row r="16" spans="1:45" ht="15.75">
      <c r="A16" s="561" t="str">
        <f>1!A17:U17</f>
        <v>Год раскрытия информации: 2018 год</v>
      </c>
      <c r="B16" s="561"/>
      <c r="C16" s="561"/>
      <c r="D16" s="561"/>
      <c r="E16" s="561"/>
      <c r="F16" s="561"/>
      <c r="G16" s="561"/>
      <c r="H16" s="561"/>
      <c r="I16" s="561"/>
      <c r="J16" s="561"/>
      <c r="K16" s="561"/>
      <c r="L16" s="561"/>
      <c r="M16" s="561"/>
      <c r="N16" s="561"/>
      <c r="O16" s="561"/>
      <c r="P16" s="561"/>
      <c r="Q16" s="561"/>
      <c r="R16" s="561"/>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row>
    <row r="17" spans="1:19" ht="15" customHeight="1" thickBot="1">
      <c r="A17" s="668"/>
      <c r="B17" s="668"/>
      <c r="C17" s="668"/>
      <c r="D17" s="668"/>
      <c r="E17" s="668"/>
      <c r="F17" s="668"/>
      <c r="G17" s="668"/>
      <c r="H17" s="668"/>
      <c r="I17" s="668"/>
      <c r="J17" s="668"/>
      <c r="K17" s="668"/>
      <c r="L17" s="668"/>
      <c r="M17" s="668"/>
      <c r="N17" s="668"/>
      <c r="O17" s="668"/>
      <c r="P17" s="668"/>
      <c r="Q17" s="668"/>
      <c r="R17" s="668"/>
      <c r="S17" s="55"/>
    </row>
    <row r="18" spans="1:18" s="8" customFormat="1" ht="184.5" customHeight="1" thickBot="1">
      <c r="A18" s="354" t="s">
        <v>604</v>
      </c>
      <c r="B18" s="277" t="s">
        <v>452</v>
      </c>
      <c r="C18" s="277" t="s">
        <v>256</v>
      </c>
      <c r="D18" s="288" t="s">
        <v>442</v>
      </c>
      <c r="E18" s="288" t="s">
        <v>438</v>
      </c>
      <c r="F18" s="277" t="s">
        <v>566</v>
      </c>
      <c r="G18" s="277" t="s">
        <v>463</v>
      </c>
      <c r="H18" s="277" t="s">
        <v>512</v>
      </c>
      <c r="I18" s="277" t="s">
        <v>520</v>
      </c>
      <c r="J18" s="277" t="s">
        <v>521</v>
      </c>
      <c r="K18" s="277" t="s">
        <v>514</v>
      </c>
      <c r="L18" s="289" t="s">
        <v>518</v>
      </c>
      <c r="M18" s="278" t="s">
        <v>565</v>
      </c>
      <c r="N18" s="278" t="s">
        <v>513</v>
      </c>
      <c r="O18" s="277" t="s">
        <v>519</v>
      </c>
      <c r="P18" s="277" t="s">
        <v>515</v>
      </c>
      <c r="Q18" s="277" t="s">
        <v>516</v>
      </c>
      <c r="R18" s="290" t="s">
        <v>517</v>
      </c>
    </row>
    <row r="19" spans="1:29" ht="18.75" customHeight="1" thickBot="1">
      <c r="A19" s="293">
        <v>1</v>
      </c>
      <c r="B19" s="294">
        <v>2</v>
      </c>
      <c r="C19" s="294">
        <v>3</v>
      </c>
      <c r="D19" s="294">
        <v>4</v>
      </c>
      <c r="E19" s="294">
        <v>5</v>
      </c>
      <c r="F19" s="294">
        <v>6</v>
      </c>
      <c r="G19" s="294">
        <v>7</v>
      </c>
      <c r="H19" s="294">
        <v>8</v>
      </c>
      <c r="I19" s="294">
        <v>9</v>
      </c>
      <c r="J19" s="294">
        <v>10</v>
      </c>
      <c r="K19" s="294">
        <v>11</v>
      </c>
      <c r="L19" s="294">
        <v>12</v>
      </c>
      <c r="M19" s="294">
        <v>13</v>
      </c>
      <c r="N19" s="294">
        <v>14</v>
      </c>
      <c r="O19" s="294">
        <v>15</v>
      </c>
      <c r="P19" s="294">
        <v>16</v>
      </c>
      <c r="Q19" s="294">
        <v>17</v>
      </c>
      <c r="R19" s="295">
        <v>18</v>
      </c>
      <c r="T19" s="7"/>
      <c r="U19" s="7"/>
      <c r="V19" s="7"/>
      <c r="W19" s="7"/>
      <c r="X19" s="7"/>
      <c r="Y19" s="7"/>
      <c r="Z19" s="7"/>
      <c r="AA19" s="7"/>
      <c r="AB19" s="7"/>
      <c r="AC19" s="7"/>
    </row>
    <row r="20" spans="1:19" s="18" customFormat="1" ht="15.75">
      <c r="A20" s="323"/>
      <c r="B20" s="194" t="s">
        <v>475</v>
      </c>
      <c r="C20" s="324" t="s">
        <v>261</v>
      </c>
      <c r="D20" s="291" t="s">
        <v>368</v>
      </c>
      <c r="E20" s="291" t="s">
        <v>368</v>
      </c>
      <c r="F20" s="291" t="s">
        <v>368</v>
      </c>
      <c r="G20" s="291" t="s">
        <v>368</v>
      </c>
      <c r="H20" s="291" t="s">
        <v>368</v>
      </c>
      <c r="I20" s="291" t="s">
        <v>368</v>
      </c>
      <c r="J20" s="291" t="s">
        <v>368</v>
      </c>
      <c r="K20" s="291" t="s">
        <v>368</v>
      </c>
      <c r="L20" s="291" t="s">
        <v>368</v>
      </c>
      <c r="M20" s="291" t="s">
        <v>368</v>
      </c>
      <c r="N20" s="291" t="s">
        <v>368</v>
      </c>
      <c r="O20" s="291" t="s">
        <v>368</v>
      </c>
      <c r="P20" s="291" t="s">
        <v>368</v>
      </c>
      <c r="Q20" s="291" t="s">
        <v>368</v>
      </c>
      <c r="R20" s="292" t="s">
        <v>368</v>
      </c>
      <c r="S20" s="163"/>
    </row>
    <row r="21" spans="1:19" s="18" customFormat="1" ht="15.75">
      <c r="A21" s="207" t="s">
        <v>476</v>
      </c>
      <c r="B21" s="159" t="s">
        <v>477</v>
      </c>
      <c r="C21" s="173" t="s">
        <v>261</v>
      </c>
      <c r="D21" s="151" t="s">
        <v>368</v>
      </c>
      <c r="E21" s="151" t="s">
        <v>368</v>
      </c>
      <c r="F21" s="151" t="s">
        <v>368</v>
      </c>
      <c r="G21" s="151" t="s">
        <v>368</v>
      </c>
      <c r="H21" s="151" t="s">
        <v>368</v>
      </c>
      <c r="I21" s="151" t="s">
        <v>368</v>
      </c>
      <c r="J21" s="151" t="s">
        <v>368</v>
      </c>
      <c r="K21" s="151" t="s">
        <v>368</v>
      </c>
      <c r="L21" s="151" t="s">
        <v>368</v>
      </c>
      <c r="M21" s="151" t="s">
        <v>368</v>
      </c>
      <c r="N21" s="151" t="s">
        <v>368</v>
      </c>
      <c r="O21" s="151" t="s">
        <v>368</v>
      </c>
      <c r="P21" s="151" t="s">
        <v>368</v>
      </c>
      <c r="Q21" s="151" t="s">
        <v>368</v>
      </c>
      <c r="R21" s="280" t="s">
        <v>368</v>
      </c>
      <c r="S21" s="163"/>
    </row>
    <row r="22" spans="1:19" s="18" customFormat="1" ht="31.5">
      <c r="A22" s="207" t="s">
        <v>478</v>
      </c>
      <c r="B22" s="159" t="s">
        <v>479</v>
      </c>
      <c r="C22" s="173" t="s">
        <v>261</v>
      </c>
      <c r="D22" s="151" t="s">
        <v>368</v>
      </c>
      <c r="E22" s="151" t="s">
        <v>368</v>
      </c>
      <c r="F22" s="151" t="s">
        <v>368</v>
      </c>
      <c r="G22" s="151" t="s">
        <v>368</v>
      </c>
      <c r="H22" s="151" t="s">
        <v>368</v>
      </c>
      <c r="I22" s="151" t="s">
        <v>368</v>
      </c>
      <c r="J22" s="151" t="s">
        <v>368</v>
      </c>
      <c r="K22" s="151" t="s">
        <v>368</v>
      </c>
      <c r="L22" s="151" t="s">
        <v>368</v>
      </c>
      <c r="M22" s="151" t="s">
        <v>368</v>
      </c>
      <c r="N22" s="151" t="s">
        <v>368</v>
      </c>
      <c r="O22" s="151" t="s">
        <v>368</v>
      </c>
      <c r="P22" s="151" t="s">
        <v>368</v>
      </c>
      <c r="Q22" s="151" t="s">
        <v>368</v>
      </c>
      <c r="R22" s="280" t="s">
        <v>368</v>
      </c>
      <c r="S22" s="163"/>
    </row>
    <row r="23" spans="1:19" s="18" customFormat="1" ht="47.25">
      <c r="A23" s="207" t="s">
        <v>480</v>
      </c>
      <c r="B23" s="159" t="s">
        <v>481</v>
      </c>
      <c r="C23" s="173" t="s">
        <v>261</v>
      </c>
      <c r="D23" s="151" t="s">
        <v>368</v>
      </c>
      <c r="E23" s="151" t="s">
        <v>368</v>
      </c>
      <c r="F23" s="151" t="s">
        <v>368</v>
      </c>
      <c r="G23" s="151" t="s">
        <v>368</v>
      </c>
      <c r="H23" s="151" t="s">
        <v>368</v>
      </c>
      <c r="I23" s="151" t="s">
        <v>368</v>
      </c>
      <c r="J23" s="151" t="s">
        <v>368</v>
      </c>
      <c r="K23" s="151" t="s">
        <v>368</v>
      </c>
      <c r="L23" s="151" t="s">
        <v>368</v>
      </c>
      <c r="M23" s="151" t="s">
        <v>368</v>
      </c>
      <c r="N23" s="151" t="s">
        <v>368</v>
      </c>
      <c r="O23" s="151" t="s">
        <v>368</v>
      </c>
      <c r="P23" s="151" t="s">
        <v>368</v>
      </c>
      <c r="Q23" s="151" t="s">
        <v>368</v>
      </c>
      <c r="R23" s="280" t="s">
        <v>368</v>
      </c>
      <c r="S23" s="163"/>
    </row>
    <row r="24" spans="1:19" s="18" customFormat="1" ht="31.5">
      <c r="A24" s="207" t="s">
        <v>482</v>
      </c>
      <c r="B24" s="159" t="s">
        <v>483</v>
      </c>
      <c r="C24" s="173" t="s">
        <v>261</v>
      </c>
      <c r="D24" s="151" t="s">
        <v>368</v>
      </c>
      <c r="E24" s="151" t="s">
        <v>368</v>
      </c>
      <c r="F24" s="151" t="s">
        <v>368</v>
      </c>
      <c r="G24" s="151" t="s">
        <v>368</v>
      </c>
      <c r="H24" s="151" t="s">
        <v>368</v>
      </c>
      <c r="I24" s="151" t="s">
        <v>368</v>
      </c>
      <c r="J24" s="151" t="s">
        <v>368</v>
      </c>
      <c r="K24" s="151" t="s">
        <v>368</v>
      </c>
      <c r="L24" s="151" t="s">
        <v>368</v>
      </c>
      <c r="M24" s="151" t="s">
        <v>368</v>
      </c>
      <c r="N24" s="151" t="s">
        <v>368</v>
      </c>
      <c r="O24" s="151" t="s">
        <v>368</v>
      </c>
      <c r="P24" s="151" t="s">
        <v>368</v>
      </c>
      <c r="Q24" s="151" t="s">
        <v>368</v>
      </c>
      <c r="R24" s="280" t="s">
        <v>368</v>
      </c>
      <c r="S24" s="163"/>
    </row>
    <row r="25" spans="1:19" s="18" customFormat="1" ht="31.5">
      <c r="A25" s="207" t="s">
        <v>484</v>
      </c>
      <c r="B25" s="160" t="s">
        <v>485</v>
      </c>
      <c r="C25" s="173" t="s">
        <v>261</v>
      </c>
      <c r="D25" s="151" t="s">
        <v>368</v>
      </c>
      <c r="E25" s="151" t="s">
        <v>368</v>
      </c>
      <c r="F25" s="151" t="s">
        <v>368</v>
      </c>
      <c r="G25" s="151" t="s">
        <v>368</v>
      </c>
      <c r="H25" s="151" t="s">
        <v>368</v>
      </c>
      <c r="I25" s="151" t="s">
        <v>368</v>
      </c>
      <c r="J25" s="151" t="s">
        <v>368</v>
      </c>
      <c r="K25" s="151" t="s">
        <v>368</v>
      </c>
      <c r="L25" s="151" t="s">
        <v>368</v>
      </c>
      <c r="M25" s="151" t="s">
        <v>368</v>
      </c>
      <c r="N25" s="151" t="s">
        <v>368</v>
      </c>
      <c r="O25" s="151" t="s">
        <v>368</v>
      </c>
      <c r="P25" s="151" t="s">
        <v>368</v>
      </c>
      <c r="Q25" s="151" t="s">
        <v>368</v>
      </c>
      <c r="R25" s="280" t="s">
        <v>368</v>
      </c>
      <c r="S25" s="163"/>
    </row>
    <row r="26" spans="1:19" s="18" customFormat="1" ht="15.75">
      <c r="A26" s="207" t="s">
        <v>486</v>
      </c>
      <c r="B26" s="160" t="s">
        <v>487</v>
      </c>
      <c r="C26" s="173" t="s">
        <v>261</v>
      </c>
      <c r="D26" s="151" t="s">
        <v>368</v>
      </c>
      <c r="E26" s="151" t="s">
        <v>368</v>
      </c>
      <c r="F26" s="151" t="s">
        <v>368</v>
      </c>
      <c r="G26" s="151" t="s">
        <v>368</v>
      </c>
      <c r="H26" s="151" t="s">
        <v>368</v>
      </c>
      <c r="I26" s="151" t="s">
        <v>368</v>
      </c>
      <c r="J26" s="151" t="s">
        <v>368</v>
      </c>
      <c r="K26" s="151" t="s">
        <v>368</v>
      </c>
      <c r="L26" s="151" t="s">
        <v>368</v>
      </c>
      <c r="M26" s="151" t="s">
        <v>368</v>
      </c>
      <c r="N26" s="151" t="s">
        <v>368</v>
      </c>
      <c r="O26" s="151" t="s">
        <v>368</v>
      </c>
      <c r="P26" s="151" t="s">
        <v>368</v>
      </c>
      <c r="Q26" s="151" t="s">
        <v>368</v>
      </c>
      <c r="R26" s="280" t="s">
        <v>368</v>
      </c>
      <c r="S26" s="163"/>
    </row>
    <row r="27" spans="1:19" s="18" customFormat="1" ht="31.5">
      <c r="A27" s="325">
        <v>1</v>
      </c>
      <c r="B27" s="161" t="s">
        <v>260</v>
      </c>
      <c r="C27" s="173" t="s">
        <v>261</v>
      </c>
      <c r="D27" s="151" t="s">
        <v>368</v>
      </c>
      <c r="E27" s="151" t="s">
        <v>368</v>
      </c>
      <c r="F27" s="151" t="s">
        <v>368</v>
      </c>
      <c r="G27" s="151" t="s">
        <v>368</v>
      </c>
      <c r="H27" s="151" t="s">
        <v>368</v>
      </c>
      <c r="I27" s="151" t="s">
        <v>368</v>
      </c>
      <c r="J27" s="151" t="s">
        <v>368</v>
      </c>
      <c r="K27" s="151" t="s">
        <v>368</v>
      </c>
      <c r="L27" s="151" t="s">
        <v>368</v>
      </c>
      <c r="M27" s="151" t="s">
        <v>368</v>
      </c>
      <c r="N27" s="151" t="s">
        <v>368</v>
      </c>
      <c r="O27" s="151" t="s">
        <v>368</v>
      </c>
      <c r="P27" s="151" t="s">
        <v>368</v>
      </c>
      <c r="Q27" s="151" t="s">
        <v>368</v>
      </c>
      <c r="R27" s="280" t="s">
        <v>368</v>
      </c>
      <c r="S27" s="163"/>
    </row>
    <row r="28" spans="1:19" s="18" customFormat="1" ht="47.25">
      <c r="A28" s="207" t="s">
        <v>285</v>
      </c>
      <c r="B28" s="161" t="s">
        <v>263</v>
      </c>
      <c r="C28" s="173" t="s">
        <v>261</v>
      </c>
      <c r="D28" s="151" t="s">
        <v>368</v>
      </c>
      <c r="E28" s="151" t="s">
        <v>368</v>
      </c>
      <c r="F28" s="151" t="s">
        <v>368</v>
      </c>
      <c r="G28" s="151" t="s">
        <v>368</v>
      </c>
      <c r="H28" s="151" t="s">
        <v>368</v>
      </c>
      <c r="I28" s="151" t="s">
        <v>368</v>
      </c>
      <c r="J28" s="151" t="s">
        <v>368</v>
      </c>
      <c r="K28" s="151" t="s">
        <v>368</v>
      </c>
      <c r="L28" s="151" t="s">
        <v>368</v>
      </c>
      <c r="M28" s="151" t="s">
        <v>368</v>
      </c>
      <c r="N28" s="151" t="s">
        <v>368</v>
      </c>
      <c r="O28" s="151" t="s">
        <v>368</v>
      </c>
      <c r="P28" s="151" t="s">
        <v>368</v>
      </c>
      <c r="Q28" s="151" t="s">
        <v>368</v>
      </c>
      <c r="R28" s="280" t="s">
        <v>368</v>
      </c>
      <c r="S28" s="163"/>
    </row>
    <row r="29" spans="1:19" s="18" customFormat="1" ht="45">
      <c r="A29" s="281" t="str">
        <f>1!A33</f>
        <v>1.1</v>
      </c>
      <c r="B29" s="355" t="str">
        <f>1!B33</f>
        <v>Реконструкция ВЛ-0,4 кВ ул.Шоссейная, п.Иноземцево, (и/н 0000467), СИП-2 3х50+1х54,6 - 0,418 км, СИП-2 3х35+1х54,6 - 0,366 км и СИП-4 2х16 - 0,575 км</v>
      </c>
      <c r="C29" s="100" t="str">
        <f>1!C33</f>
        <v>G_Gelezno_001</v>
      </c>
      <c r="D29" s="45" t="s">
        <v>135</v>
      </c>
      <c r="E29" s="45" t="s">
        <v>136</v>
      </c>
      <c r="F29" s="45" t="s">
        <v>587</v>
      </c>
      <c r="G29" s="95" t="s">
        <v>588</v>
      </c>
      <c r="H29" s="45" t="s">
        <v>138</v>
      </c>
      <c r="I29" s="45" t="s">
        <v>138</v>
      </c>
      <c r="J29" s="45" t="s">
        <v>138</v>
      </c>
      <c r="K29" s="45" t="s">
        <v>138</v>
      </c>
      <c r="L29" s="45" t="s">
        <v>138</v>
      </c>
      <c r="M29" s="45" t="s">
        <v>137</v>
      </c>
      <c r="N29" s="45" t="s">
        <v>138</v>
      </c>
      <c r="O29" s="45" t="s">
        <v>138</v>
      </c>
      <c r="P29" s="45" t="s">
        <v>138</v>
      </c>
      <c r="Q29" s="45" t="s">
        <v>139</v>
      </c>
      <c r="R29" s="279" t="s">
        <v>139</v>
      </c>
      <c r="S29" s="163"/>
    </row>
    <row r="30" spans="1:19" s="18" customFormat="1" ht="30">
      <c r="A30" s="281" t="str">
        <f>1!A34</f>
        <v>1.1</v>
      </c>
      <c r="B30" s="355" t="str">
        <f>1!B34</f>
        <v>Реконструкция ВЛ-0,4 кВ ул.Р.Люксембург, г.Железноводск, (и/н 0000305), СИП-2 3х35+1х54,6 - 0,367 км и СИП-4 2х16 - 0,45 км</v>
      </c>
      <c r="C30" s="100" t="str">
        <f>1!C34</f>
        <v>G_Gelezno_002</v>
      </c>
      <c r="D30" s="45" t="s">
        <v>135</v>
      </c>
      <c r="E30" s="45" t="s">
        <v>136</v>
      </c>
      <c r="F30" s="45" t="s">
        <v>587</v>
      </c>
      <c r="G30" s="95" t="s">
        <v>588</v>
      </c>
      <c r="H30" s="45" t="s">
        <v>138</v>
      </c>
      <c r="I30" s="45" t="s">
        <v>138</v>
      </c>
      <c r="J30" s="45" t="s">
        <v>138</v>
      </c>
      <c r="K30" s="45" t="s">
        <v>138</v>
      </c>
      <c r="L30" s="45" t="s">
        <v>138</v>
      </c>
      <c r="M30" s="45" t="s">
        <v>137</v>
      </c>
      <c r="N30" s="45" t="s">
        <v>138</v>
      </c>
      <c r="O30" s="45" t="s">
        <v>138</v>
      </c>
      <c r="P30" s="45" t="s">
        <v>138</v>
      </c>
      <c r="Q30" s="45" t="s">
        <v>139</v>
      </c>
      <c r="R30" s="279" t="s">
        <v>139</v>
      </c>
      <c r="S30" s="163"/>
    </row>
    <row r="31" spans="1:19" s="18" customFormat="1" ht="30">
      <c r="A31" s="281" t="str">
        <f>1!A35</f>
        <v>1.1</v>
      </c>
      <c r="B31" s="355" t="str">
        <f>1!B35</f>
        <v>Реконструкция ВЛ-0,4 кВ ул.Свободы, п.Иноземцево, (и/н 0000450 и 0000451), СИП-2 3х35+1х54,6 - 2,35 км и СИП-4 2х16 - 2,97 км</v>
      </c>
      <c r="C31" s="100" t="str">
        <f>1!C35</f>
        <v>G_Gelezno_003</v>
      </c>
      <c r="D31" s="45" t="s">
        <v>135</v>
      </c>
      <c r="E31" s="45" t="s">
        <v>136</v>
      </c>
      <c r="F31" s="45" t="s">
        <v>587</v>
      </c>
      <c r="G31" s="95" t="s">
        <v>588</v>
      </c>
      <c r="H31" s="45" t="s">
        <v>138</v>
      </c>
      <c r="I31" s="45" t="s">
        <v>138</v>
      </c>
      <c r="J31" s="45" t="s">
        <v>138</v>
      </c>
      <c r="K31" s="45" t="s">
        <v>138</v>
      </c>
      <c r="L31" s="45" t="s">
        <v>138</v>
      </c>
      <c r="M31" s="45" t="s">
        <v>137</v>
      </c>
      <c r="N31" s="45" t="s">
        <v>138</v>
      </c>
      <c r="O31" s="45" t="s">
        <v>138</v>
      </c>
      <c r="P31" s="45" t="s">
        <v>138</v>
      </c>
      <c r="Q31" s="45" t="s">
        <v>139</v>
      </c>
      <c r="R31" s="279" t="s">
        <v>139</v>
      </c>
      <c r="S31" s="163"/>
    </row>
    <row r="32" spans="1:19" s="18" customFormat="1" ht="45">
      <c r="A32" s="281" t="str">
        <f>1!A36</f>
        <v>1.1</v>
      </c>
      <c r="B32" s="355" t="str">
        <f>1!B36</f>
        <v>Реконструкция ВЛ-0,4 кВ ул.Свободы до озера (от ул.Шоссей-ной), п.Иноземцево, (и/н 0000453), СИП-2 3х35+1х54,6 - 2,26 км и СИП-4 2х16 - 2,17 км</v>
      </c>
      <c r="C32" s="100" t="str">
        <f>1!C36</f>
        <v>G_Gelezno_004</v>
      </c>
      <c r="D32" s="45" t="s">
        <v>135</v>
      </c>
      <c r="E32" s="45" t="s">
        <v>136</v>
      </c>
      <c r="F32" s="45" t="s">
        <v>587</v>
      </c>
      <c r="G32" s="95" t="s">
        <v>588</v>
      </c>
      <c r="H32" s="45" t="s">
        <v>138</v>
      </c>
      <c r="I32" s="45" t="s">
        <v>138</v>
      </c>
      <c r="J32" s="45" t="s">
        <v>138</v>
      </c>
      <c r="K32" s="45" t="s">
        <v>138</v>
      </c>
      <c r="L32" s="45" t="s">
        <v>138</v>
      </c>
      <c r="M32" s="45" t="s">
        <v>137</v>
      </c>
      <c r="N32" s="45" t="s">
        <v>138</v>
      </c>
      <c r="O32" s="45" t="s">
        <v>138</v>
      </c>
      <c r="P32" s="45" t="s">
        <v>138</v>
      </c>
      <c r="Q32" s="45" t="s">
        <v>139</v>
      </c>
      <c r="R32" s="279" t="s">
        <v>139</v>
      </c>
      <c r="S32" s="163"/>
    </row>
    <row r="33" spans="1:19" s="18" customFormat="1" ht="45">
      <c r="A33" s="281" t="str">
        <f>1!A37</f>
        <v>1.1</v>
      </c>
      <c r="B33" s="355" t="str">
        <f>1!B37</f>
        <v>Реконструкция ВЛ-0,4 кВ ул.60 лет Октября, п.Иноземцево, (и/н 0000329 и 0000330), СИП-2 3х35+1х54,6 - 0,836 км и СИП-4 2х16 - 2,2 км</v>
      </c>
      <c r="C33" s="100" t="str">
        <f>1!C37</f>
        <v>G_Gelezno_005</v>
      </c>
      <c r="D33" s="45" t="s">
        <v>135</v>
      </c>
      <c r="E33" s="45" t="s">
        <v>136</v>
      </c>
      <c r="F33" s="45" t="s">
        <v>587</v>
      </c>
      <c r="G33" s="95" t="s">
        <v>588</v>
      </c>
      <c r="H33" s="45" t="s">
        <v>138</v>
      </c>
      <c r="I33" s="45" t="s">
        <v>138</v>
      </c>
      <c r="J33" s="45" t="s">
        <v>138</v>
      </c>
      <c r="K33" s="45" t="s">
        <v>138</v>
      </c>
      <c r="L33" s="45" t="s">
        <v>138</v>
      </c>
      <c r="M33" s="45" t="s">
        <v>137</v>
      </c>
      <c r="N33" s="45" t="s">
        <v>138</v>
      </c>
      <c r="O33" s="45" t="s">
        <v>138</v>
      </c>
      <c r="P33" s="45" t="s">
        <v>138</v>
      </c>
      <c r="Q33" s="45" t="s">
        <v>139</v>
      </c>
      <c r="R33" s="279" t="s">
        <v>139</v>
      </c>
      <c r="S33" s="163"/>
    </row>
    <row r="34" spans="1:19" s="18" customFormat="1" ht="45">
      <c r="A34" s="281" t="str">
        <f>1!A38</f>
        <v>1.1</v>
      </c>
      <c r="B34" s="355" t="str">
        <f>1!B38</f>
        <v>Реконструкция ВЛ-0,4 кВ ул.К.Цеткин и/н 0000376  и  ул.Пушкина и/н 0000440 п.Иноземцево, СИП-2 3х35+1х54,6 - 2,02 км и СИП-4 2х16 - 1,42 км</v>
      </c>
      <c r="C34" s="100" t="str">
        <f>1!C38</f>
        <v>G_Gelezno_006</v>
      </c>
      <c r="D34" s="45" t="s">
        <v>135</v>
      </c>
      <c r="E34" s="45" t="s">
        <v>136</v>
      </c>
      <c r="F34" s="45" t="s">
        <v>587</v>
      </c>
      <c r="G34" s="95" t="s">
        <v>588</v>
      </c>
      <c r="H34" s="45" t="s">
        <v>138</v>
      </c>
      <c r="I34" s="45" t="s">
        <v>138</v>
      </c>
      <c r="J34" s="45" t="s">
        <v>138</v>
      </c>
      <c r="K34" s="45" t="s">
        <v>138</v>
      </c>
      <c r="L34" s="45" t="s">
        <v>138</v>
      </c>
      <c r="M34" s="45" t="s">
        <v>137</v>
      </c>
      <c r="N34" s="45" t="s">
        <v>138</v>
      </c>
      <c r="O34" s="45" t="s">
        <v>138</v>
      </c>
      <c r="P34" s="45" t="s">
        <v>138</v>
      </c>
      <c r="Q34" s="45" t="s">
        <v>139</v>
      </c>
      <c r="R34" s="279" t="s">
        <v>139</v>
      </c>
      <c r="S34" s="163"/>
    </row>
    <row r="35" spans="1:19" s="18" customFormat="1" ht="30">
      <c r="A35" s="281" t="str">
        <f>1!A39</f>
        <v>1.1</v>
      </c>
      <c r="B35" s="355" t="str">
        <f>1!B39</f>
        <v>Реконструкция ВЛ-0,4 кВ ул.Бахановича, г.Железноводск, (и/н 0000285), СИП-2 3х35+1х54,6 - 0,502км и СИП-4 2х16 - 0,784 км</v>
      </c>
      <c r="C35" s="100" t="str">
        <f>1!C39</f>
        <v>G_Gelezno_007</v>
      </c>
      <c r="D35" s="45" t="s">
        <v>135</v>
      </c>
      <c r="E35" s="45" t="s">
        <v>136</v>
      </c>
      <c r="F35" s="45" t="s">
        <v>587</v>
      </c>
      <c r="G35" s="95" t="s">
        <v>588</v>
      </c>
      <c r="H35" s="45" t="s">
        <v>138</v>
      </c>
      <c r="I35" s="45" t="s">
        <v>138</v>
      </c>
      <c r="J35" s="45" t="s">
        <v>138</v>
      </c>
      <c r="K35" s="45" t="s">
        <v>138</v>
      </c>
      <c r="L35" s="45" t="s">
        <v>138</v>
      </c>
      <c r="M35" s="45" t="s">
        <v>137</v>
      </c>
      <c r="N35" s="45" t="s">
        <v>138</v>
      </c>
      <c r="O35" s="45" t="s">
        <v>138</v>
      </c>
      <c r="P35" s="45" t="s">
        <v>138</v>
      </c>
      <c r="Q35" s="45" t="s">
        <v>139</v>
      </c>
      <c r="R35" s="279" t="s">
        <v>139</v>
      </c>
      <c r="S35" s="163"/>
    </row>
    <row r="36" spans="1:19" s="18" customFormat="1" ht="45">
      <c r="A36" s="281" t="str">
        <f>1!A40</f>
        <v>1.1</v>
      </c>
      <c r="B36" s="355" t="str">
        <f>1!B40</f>
        <v>Реконструкция ВЛ-0,4 кВ ул.Ивановская, г. Железноводск, (и/н 0000370 и 0000371 ), СИП-2 3х35+1х54,6 - 1,12 км и СИП-4 2х16 - 0,4 км</v>
      </c>
      <c r="C36" s="100" t="str">
        <f>1!C40</f>
        <v>G_Gelezno_008</v>
      </c>
      <c r="D36" s="45" t="s">
        <v>135</v>
      </c>
      <c r="E36" s="45" t="s">
        <v>136</v>
      </c>
      <c r="F36" s="45" t="s">
        <v>587</v>
      </c>
      <c r="G36" s="95" t="s">
        <v>588</v>
      </c>
      <c r="H36" s="45" t="s">
        <v>138</v>
      </c>
      <c r="I36" s="45" t="s">
        <v>138</v>
      </c>
      <c r="J36" s="45" t="s">
        <v>138</v>
      </c>
      <c r="K36" s="45" t="s">
        <v>138</v>
      </c>
      <c r="L36" s="45" t="s">
        <v>138</v>
      </c>
      <c r="M36" s="45" t="s">
        <v>137</v>
      </c>
      <c r="N36" s="45" t="s">
        <v>138</v>
      </c>
      <c r="O36" s="45" t="s">
        <v>138</v>
      </c>
      <c r="P36" s="45" t="s">
        <v>138</v>
      </c>
      <c r="Q36" s="45" t="s">
        <v>139</v>
      </c>
      <c r="R36" s="279" t="s">
        <v>139</v>
      </c>
      <c r="S36" s="163"/>
    </row>
    <row r="37" spans="1:19" s="18" customFormat="1" ht="45">
      <c r="A37" s="281" t="str">
        <f>1!A41</f>
        <v>1.1</v>
      </c>
      <c r="B37" s="355" t="str">
        <f>1!B41</f>
        <v>Реконструкция ВЛ-0,4 кВ ул.Бахановича от ул.Чапаева, г.Желез-новодск, (и/н 0000283), СИП-2 3х35+1х54,6 - 0,836 км и СИП-4 2х16 - 1,306 км</v>
      </c>
      <c r="C37" s="100" t="str">
        <f>1!C41</f>
        <v>G_Gelezno_009</v>
      </c>
      <c r="D37" s="45" t="s">
        <v>135</v>
      </c>
      <c r="E37" s="45" t="s">
        <v>136</v>
      </c>
      <c r="F37" s="45" t="s">
        <v>587</v>
      </c>
      <c r="G37" s="95" t="s">
        <v>588</v>
      </c>
      <c r="H37" s="45" t="s">
        <v>138</v>
      </c>
      <c r="I37" s="45" t="s">
        <v>138</v>
      </c>
      <c r="J37" s="45" t="s">
        <v>138</v>
      </c>
      <c r="K37" s="45" t="s">
        <v>138</v>
      </c>
      <c r="L37" s="45" t="s">
        <v>138</v>
      </c>
      <c r="M37" s="45" t="s">
        <v>137</v>
      </c>
      <c r="N37" s="45" t="s">
        <v>138</v>
      </c>
      <c r="O37" s="45" t="s">
        <v>138</v>
      </c>
      <c r="P37" s="45" t="s">
        <v>138</v>
      </c>
      <c r="Q37" s="45" t="s">
        <v>139</v>
      </c>
      <c r="R37" s="279" t="s">
        <v>139</v>
      </c>
      <c r="S37" s="163"/>
    </row>
    <row r="38" spans="1:19" s="18" customFormat="1" ht="9.75" customHeight="1">
      <c r="A38" s="281"/>
      <c r="B38" s="355"/>
      <c r="C38" s="100"/>
      <c r="D38" s="45"/>
      <c r="E38" s="45"/>
      <c r="F38" s="45"/>
      <c r="G38" s="45"/>
      <c r="H38" s="45"/>
      <c r="I38" s="45"/>
      <c r="J38" s="45"/>
      <c r="K38" s="45"/>
      <c r="L38" s="45"/>
      <c r="M38" s="45"/>
      <c r="N38" s="45"/>
      <c r="O38" s="45"/>
      <c r="P38" s="45"/>
      <c r="Q38" s="45"/>
      <c r="R38" s="279"/>
      <c r="S38" s="163"/>
    </row>
    <row r="39" spans="1:19" s="327" customFormat="1" ht="28.5">
      <c r="A39" s="282" t="str">
        <f>1!A43</f>
        <v>1.2</v>
      </c>
      <c r="B39" s="356" t="str">
        <f>1!B43</f>
        <v>Реконструкция трансформаторных и иных подстанций, всего, в том числе:</v>
      </c>
      <c r="C39" s="149" t="str">
        <f>1!C43</f>
        <v>Г</v>
      </c>
      <c r="D39" s="151"/>
      <c r="E39" s="151"/>
      <c r="F39" s="151"/>
      <c r="G39" s="151"/>
      <c r="H39" s="151"/>
      <c r="I39" s="151"/>
      <c r="J39" s="151"/>
      <c r="K39" s="151"/>
      <c r="L39" s="151"/>
      <c r="M39" s="151"/>
      <c r="N39" s="151"/>
      <c r="O39" s="151"/>
      <c r="P39" s="151"/>
      <c r="Q39" s="151"/>
      <c r="R39" s="280"/>
      <c r="S39" s="326"/>
    </row>
    <row r="40" spans="1:19" s="18" customFormat="1" ht="30">
      <c r="A40" s="281" t="str">
        <f>1!A44</f>
        <v>1.2</v>
      </c>
      <c r="B40" s="355" t="str">
        <f>1!B44</f>
        <v>Реконструкция в ТП-187  (и/н 0001379) (камера сборная серии КСО-393-13-400 - 1 шт. и камера сборная серии КСО-393-01 - 1шт.)</v>
      </c>
      <c r="C40" s="100" t="str">
        <f>1!C44</f>
        <v>G_Gelezno_010</v>
      </c>
      <c r="D40" s="45" t="s">
        <v>135</v>
      </c>
      <c r="E40" s="45" t="s">
        <v>136</v>
      </c>
      <c r="F40" s="45" t="s">
        <v>587</v>
      </c>
      <c r="G40" s="95" t="s">
        <v>588</v>
      </c>
      <c r="H40" s="45" t="s">
        <v>138</v>
      </c>
      <c r="I40" s="45" t="s">
        <v>138</v>
      </c>
      <c r="J40" s="45" t="s">
        <v>138</v>
      </c>
      <c r="K40" s="45" t="s">
        <v>138</v>
      </c>
      <c r="L40" s="45" t="s">
        <v>138</v>
      </c>
      <c r="M40" s="45" t="s">
        <v>137</v>
      </c>
      <c r="N40" s="45" t="s">
        <v>138</v>
      </c>
      <c r="O40" s="45" t="s">
        <v>138</v>
      </c>
      <c r="P40" s="45" t="s">
        <v>138</v>
      </c>
      <c r="Q40" s="45" t="s">
        <v>139</v>
      </c>
      <c r="R40" s="279" t="s">
        <v>139</v>
      </c>
      <c r="S40" s="163"/>
    </row>
    <row r="41" spans="1:19" s="18" customFormat="1" ht="9.75" customHeight="1">
      <c r="A41" s="281"/>
      <c r="B41" s="355"/>
      <c r="C41" s="100"/>
      <c r="D41" s="45"/>
      <c r="E41" s="45"/>
      <c r="F41" s="45"/>
      <c r="G41" s="45"/>
      <c r="H41" s="45"/>
      <c r="I41" s="45"/>
      <c r="J41" s="45"/>
      <c r="K41" s="45"/>
      <c r="L41" s="45"/>
      <c r="M41" s="45"/>
      <c r="N41" s="45"/>
      <c r="O41" s="45"/>
      <c r="P41" s="45"/>
      <c r="Q41" s="45"/>
      <c r="R41" s="279"/>
      <c r="S41" s="163"/>
    </row>
    <row r="42" spans="1:19" s="327" customFormat="1" ht="14.25">
      <c r="A42" s="282" t="str">
        <f>1!A46</f>
        <v>1.3</v>
      </c>
      <c r="B42" s="356" t="str">
        <f>1!B46</f>
        <v>Прочие инвестиционные проекты, всего, в том числе:</v>
      </c>
      <c r="C42" s="149" t="str">
        <f>1!C46</f>
        <v>Г</v>
      </c>
      <c r="D42" s="151"/>
      <c r="E42" s="151"/>
      <c r="F42" s="151"/>
      <c r="G42" s="151"/>
      <c r="H42" s="151"/>
      <c r="I42" s="151"/>
      <c r="J42" s="151"/>
      <c r="K42" s="151"/>
      <c r="L42" s="151"/>
      <c r="M42" s="151"/>
      <c r="N42" s="151"/>
      <c r="O42" s="151"/>
      <c r="P42" s="151"/>
      <c r="Q42" s="151"/>
      <c r="R42" s="280"/>
      <c r="S42" s="326"/>
    </row>
    <row r="43" spans="1:19" s="18" customFormat="1" ht="30">
      <c r="A43" s="281" t="str">
        <f>1!A47</f>
        <v>1.3</v>
      </c>
      <c r="B43" s="355" t="str">
        <f>1!B47</f>
        <v>Внутренний контур системы коммерческого учёта АСКУЭ   в   ТП-40; 15; 185; 28; 9  и  РП-3; 4; 5; 6.</v>
      </c>
      <c r="C43" s="100" t="str">
        <f>1!C47</f>
        <v>G_Gelezno_011</v>
      </c>
      <c r="D43" s="45" t="s">
        <v>135</v>
      </c>
      <c r="E43" s="45" t="s">
        <v>136</v>
      </c>
      <c r="F43" s="45" t="s">
        <v>587</v>
      </c>
      <c r="G43" s="95" t="s">
        <v>588</v>
      </c>
      <c r="H43" s="45" t="s">
        <v>138</v>
      </c>
      <c r="I43" s="45" t="s">
        <v>138</v>
      </c>
      <c r="J43" s="45" t="s">
        <v>138</v>
      </c>
      <c r="K43" s="45" t="s">
        <v>138</v>
      </c>
      <c r="L43" s="45" t="s">
        <v>138</v>
      </c>
      <c r="M43" s="45" t="s">
        <v>137</v>
      </c>
      <c r="N43" s="45" t="s">
        <v>138</v>
      </c>
      <c r="O43" s="45" t="s">
        <v>138</v>
      </c>
      <c r="P43" s="45" t="s">
        <v>138</v>
      </c>
      <c r="Q43" s="45" t="s">
        <v>139</v>
      </c>
      <c r="R43" s="279" t="s">
        <v>139</v>
      </c>
      <c r="S43" s="163"/>
    </row>
    <row r="44" spans="1:19" s="18" customFormat="1" ht="30">
      <c r="A44" s="281" t="str">
        <f>1!A48</f>
        <v>1.3</v>
      </c>
      <c r="B44" s="355" t="str">
        <f>1!B48</f>
        <v>Оборудование, не требующее монтажа</v>
      </c>
      <c r="C44" s="100" t="str">
        <f>1!C48</f>
        <v>G_Gelezno_012</v>
      </c>
      <c r="D44" s="45" t="s">
        <v>135</v>
      </c>
      <c r="E44" s="45" t="s">
        <v>136</v>
      </c>
      <c r="F44" s="45" t="s">
        <v>587</v>
      </c>
      <c r="G44" s="95" t="s">
        <v>588</v>
      </c>
      <c r="H44" s="45" t="s">
        <v>138</v>
      </c>
      <c r="I44" s="45" t="s">
        <v>138</v>
      </c>
      <c r="J44" s="45" t="s">
        <v>138</v>
      </c>
      <c r="K44" s="45" t="s">
        <v>138</v>
      </c>
      <c r="L44" s="45" t="s">
        <v>138</v>
      </c>
      <c r="M44" s="45" t="s">
        <v>137</v>
      </c>
      <c r="N44" s="45" t="s">
        <v>138</v>
      </c>
      <c r="O44" s="45" t="s">
        <v>138</v>
      </c>
      <c r="P44" s="45" t="s">
        <v>138</v>
      </c>
      <c r="Q44" s="45" t="s">
        <v>139</v>
      </c>
      <c r="R44" s="279" t="s">
        <v>139</v>
      </c>
      <c r="S44" s="163"/>
    </row>
    <row r="45" spans="1:19" s="18" customFormat="1" ht="7.5" customHeight="1">
      <c r="A45" s="281"/>
      <c r="B45" s="355"/>
      <c r="C45" s="100"/>
      <c r="D45" s="45"/>
      <c r="E45" s="45"/>
      <c r="F45" s="45"/>
      <c r="G45" s="45"/>
      <c r="H45" s="45"/>
      <c r="I45" s="45"/>
      <c r="J45" s="45"/>
      <c r="K45" s="45"/>
      <c r="L45" s="45"/>
      <c r="M45" s="45"/>
      <c r="N45" s="45"/>
      <c r="O45" s="45"/>
      <c r="P45" s="45"/>
      <c r="Q45" s="45"/>
      <c r="R45" s="279"/>
      <c r="S45" s="163"/>
    </row>
    <row r="46" spans="1:19" s="327" customFormat="1" ht="14.25">
      <c r="A46" s="282" t="str">
        <f>1!A50</f>
        <v>1.4</v>
      </c>
      <c r="B46" s="356" t="str">
        <f>1!B50</f>
        <v>Новое строительство, всего, в том числе:</v>
      </c>
      <c r="C46" s="149" t="str">
        <f>1!C50</f>
        <v>Г</v>
      </c>
      <c r="D46" s="151"/>
      <c r="E46" s="151"/>
      <c r="F46" s="151"/>
      <c r="G46" s="151"/>
      <c r="H46" s="151"/>
      <c r="I46" s="151"/>
      <c r="J46" s="151"/>
      <c r="K46" s="151"/>
      <c r="L46" s="151"/>
      <c r="M46" s="151"/>
      <c r="N46" s="151"/>
      <c r="O46" s="151"/>
      <c r="P46" s="151"/>
      <c r="Q46" s="151"/>
      <c r="R46" s="280"/>
      <c r="S46" s="326"/>
    </row>
    <row r="47" spans="1:19" s="327" customFormat="1" ht="30">
      <c r="A47" s="282" t="str">
        <f>1!A51</f>
        <v>1.4.1</v>
      </c>
      <c r="B47" s="356" t="str">
        <f>1!B51</f>
        <v>Прочее новое строительство объектов электросетевого хозяйства</v>
      </c>
      <c r="C47" s="100"/>
      <c r="D47" s="45" t="s">
        <v>135</v>
      </c>
      <c r="E47" s="45" t="s">
        <v>136</v>
      </c>
      <c r="F47" s="45" t="s">
        <v>587</v>
      </c>
      <c r="G47" s="95" t="s">
        <v>588</v>
      </c>
      <c r="H47" s="45" t="s">
        <v>138</v>
      </c>
      <c r="I47" s="45" t="s">
        <v>138</v>
      </c>
      <c r="J47" s="45" t="s">
        <v>138</v>
      </c>
      <c r="K47" s="45" t="s">
        <v>138</v>
      </c>
      <c r="L47" s="45" t="s">
        <v>138</v>
      </c>
      <c r="M47" s="45" t="s">
        <v>137</v>
      </c>
      <c r="N47" s="45" t="s">
        <v>138</v>
      </c>
      <c r="O47" s="45" t="s">
        <v>138</v>
      </c>
      <c r="P47" s="45" t="s">
        <v>138</v>
      </c>
      <c r="Q47" s="45" t="s">
        <v>139</v>
      </c>
      <c r="R47" s="279" t="s">
        <v>139</v>
      </c>
      <c r="S47" s="326"/>
    </row>
    <row r="48" spans="1:19" s="18" customFormat="1" ht="30">
      <c r="A48" s="281" t="str">
        <f>1!A52</f>
        <v>1.4.1.1</v>
      </c>
      <c r="B48" s="355" t="str">
        <f>1!B52</f>
        <v>Строительство КЛ-10 кВ, Ф-187(С-2) от ПС"Машук" до ТП-187, п.Иноземцево , L=2,244 км (ААБлУ 3х240)</v>
      </c>
      <c r="C48" s="100" t="str">
        <f>1!C52</f>
        <v>G_Gelezno_013</v>
      </c>
      <c r="D48" s="45" t="s">
        <v>135</v>
      </c>
      <c r="E48" s="45" t="s">
        <v>136</v>
      </c>
      <c r="F48" s="45" t="s">
        <v>587</v>
      </c>
      <c r="G48" s="95" t="s">
        <v>588</v>
      </c>
      <c r="H48" s="45" t="s">
        <v>138</v>
      </c>
      <c r="I48" s="45" t="s">
        <v>138</v>
      </c>
      <c r="J48" s="45" t="s">
        <v>138</v>
      </c>
      <c r="K48" s="45" t="s">
        <v>138</v>
      </c>
      <c r="L48" s="45" t="s">
        <v>138</v>
      </c>
      <c r="M48" s="45" t="s">
        <v>137</v>
      </c>
      <c r="N48" s="45" t="s">
        <v>138</v>
      </c>
      <c r="O48" s="45" t="s">
        <v>138</v>
      </c>
      <c r="P48" s="45" t="s">
        <v>138</v>
      </c>
      <c r="Q48" s="45" t="s">
        <v>139</v>
      </c>
      <c r="R48" s="279" t="s">
        <v>139</v>
      </c>
      <c r="S48" s="163"/>
    </row>
    <row r="49" spans="1:19" s="18" customFormat="1" ht="15">
      <c r="A49" s="282" t="str">
        <f>1!A53</f>
        <v>1.4.2</v>
      </c>
      <c r="B49" s="356" t="str">
        <f>1!B53</f>
        <v>Прочее новое строительство, в счёт тех.присоединений</v>
      </c>
      <c r="C49" s="411"/>
      <c r="D49" s="367"/>
      <c r="E49" s="367"/>
      <c r="F49" s="367"/>
      <c r="G49" s="350"/>
      <c r="H49" s="367"/>
      <c r="I49" s="367"/>
      <c r="J49" s="367"/>
      <c r="K49" s="367"/>
      <c r="L49" s="367"/>
      <c r="M49" s="367"/>
      <c r="N49" s="367"/>
      <c r="O49" s="367"/>
      <c r="P49" s="367"/>
      <c r="Q49" s="367"/>
      <c r="R49" s="412"/>
      <c r="S49" s="163"/>
    </row>
    <row r="50" spans="1:19" s="18" customFormat="1" ht="30">
      <c r="A50" s="514" t="str">
        <f>1!A54</f>
        <v>1.4.2.1</v>
      </c>
      <c r="B50" s="410" t="str">
        <f>1!B54</f>
        <v>Строительство ВЛ-0,4 кВ от РУ-0,4 кВ ТП-185 до ВРУ офисного здания ул.Пушкина,2А, п.Иноземцево, L=0,235 км (СИП-2 3х50+1х54)</v>
      </c>
      <c r="C50" s="513" t="str">
        <f>1!C54</f>
        <v>G_Gelezno_ТР1</v>
      </c>
      <c r="D50" s="367" t="s">
        <v>135</v>
      </c>
      <c r="E50" s="367" t="s">
        <v>136</v>
      </c>
      <c r="F50" s="367" t="s">
        <v>587</v>
      </c>
      <c r="G50" s="350" t="s">
        <v>588</v>
      </c>
      <c r="H50" s="367" t="s">
        <v>138</v>
      </c>
      <c r="I50" s="367" t="s">
        <v>138</v>
      </c>
      <c r="J50" s="367" t="s">
        <v>138</v>
      </c>
      <c r="K50" s="367" t="s">
        <v>138</v>
      </c>
      <c r="L50" s="367" t="s">
        <v>138</v>
      </c>
      <c r="M50" s="367" t="s">
        <v>137</v>
      </c>
      <c r="N50" s="367" t="s">
        <v>138</v>
      </c>
      <c r="O50" s="367" t="s">
        <v>138</v>
      </c>
      <c r="P50" s="367" t="s">
        <v>138</v>
      </c>
      <c r="Q50" s="367" t="s">
        <v>139</v>
      </c>
      <c r="R50" s="412" t="s">
        <v>139</v>
      </c>
      <c r="S50" s="163"/>
    </row>
    <row r="51" spans="1:19" s="18" customFormat="1" ht="45">
      <c r="A51" s="514" t="str">
        <f>1!A55</f>
        <v>1.4.2.2</v>
      </c>
      <c r="B51" s="410" t="str">
        <f>1!B55</f>
        <v>Строительство КЛ-0,4 кВ от РУ-0,4 кВ ТП-18 (С1) до ВРУ МКЖД ул.Косякина (район дома № 49), г.Железноводск, (Линия 1), L=0,143 км (ААБл 4х120)</v>
      </c>
      <c r="C51" s="513" t="str">
        <f>1!C55</f>
        <v>G_Gelezno_ТР2</v>
      </c>
      <c r="D51" s="367" t="s">
        <v>135</v>
      </c>
      <c r="E51" s="367" t="s">
        <v>136</v>
      </c>
      <c r="F51" s="367" t="s">
        <v>587</v>
      </c>
      <c r="G51" s="350" t="s">
        <v>588</v>
      </c>
      <c r="H51" s="367" t="s">
        <v>138</v>
      </c>
      <c r="I51" s="367" t="s">
        <v>138</v>
      </c>
      <c r="J51" s="367" t="s">
        <v>138</v>
      </c>
      <c r="K51" s="367" t="s">
        <v>138</v>
      </c>
      <c r="L51" s="367" t="s">
        <v>138</v>
      </c>
      <c r="M51" s="367" t="s">
        <v>137</v>
      </c>
      <c r="N51" s="367" t="s">
        <v>138</v>
      </c>
      <c r="O51" s="367" t="s">
        <v>138</v>
      </c>
      <c r="P51" s="367" t="s">
        <v>138</v>
      </c>
      <c r="Q51" s="367" t="s">
        <v>139</v>
      </c>
      <c r="R51" s="412" t="s">
        <v>139</v>
      </c>
      <c r="S51" s="163"/>
    </row>
    <row r="52" spans="1:19" s="18" customFormat="1" ht="45">
      <c r="A52" s="514" t="str">
        <f>1!A56</f>
        <v>1.4.2.3</v>
      </c>
      <c r="B52" s="410" t="str">
        <f>1!B56</f>
        <v>Строительство КЛ-0,4 кВ от РУ-0,4 кВ ТП-18 (С2) до ВРУ МКЖД ул.Косякина (район дома № 49), г.Железноводск, (Линия 2), L=0,143 км (ААБл 4х120)</v>
      </c>
      <c r="C52" s="513" t="str">
        <f>1!C56</f>
        <v>G_Gelezno_ТР3</v>
      </c>
      <c r="D52" s="367" t="s">
        <v>135</v>
      </c>
      <c r="E52" s="367" t="s">
        <v>136</v>
      </c>
      <c r="F52" s="367" t="s">
        <v>587</v>
      </c>
      <c r="G52" s="350" t="s">
        <v>588</v>
      </c>
      <c r="H52" s="367" t="s">
        <v>138</v>
      </c>
      <c r="I52" s="367" t="s">
        <v>138</v>
      </c>
      <c r="J52" s="367" t="s">
        <v>138</v>
      </c>
      <c r="K52" s="367" t="s">
        <v>138</v>
      </c>
      <c r="L52" s="367" t="s">
        <v>138</v>
      </c>
      <c r="M52" s="367" t="s">
        <v>137</v>
      </c>
      <c r="N52" s="367" t="s">
        <v>138</v>
      </c>
      <c r="O52" s="367" t="s">
        <v>138</v>
      </c>
      <c r="P52" s="367" t="s">
        <v>138</v>
      </c>
      <c r="Q52" s="367" t="s">
        <v>139</v>
      </c>
      <c r="R52" s="412" t="s">
        <v>139</v>
      </c>
      <c r="S52" s="163"/>
    </row>
    <row r="53" spans="1:19" s="18" customFormat="1" ht="30">
      <c r="A53" s="514" t="str">
        <f>1!A57</f>
        <v>1.4.2.4</v>
      </c>
      <c r="B53" s="410" t="str">
        <f>1!B57</f>
        <v>Строительство КТП-247 в районе озера "Карас", п.Иноземцево (250 кВА)</v>
      </c>
      <c r="C53" s="513" t="str">
        <f>1!C57</f>
        <v>G_Gelezno_ТР4</v>
      </c>
      <c r="D53" s="367" t="s">
        <v>135</v>
      </c>
      <c r="E53" s="367" t="s">
        <v>136</v>
      </c>
      <c r="F53" s="367" t="s">
        <v>587</v>
      </c>
      <c r="G53" s="350" t="s">
        <v>588</v>
      </c>
      <c r="H53" s="367" t="s">
        <v>138</v>
      </c>
      <c r="I53" s="367" t="s">
        <v>138</v>
      </c>
      <c r="J53" s="367" t="s">
        <v>138</v>
      </c>
      <c r="K53" s="367" t="s">
        <v>138</v>
      </c>
      <c r="L53" s="367" t="s">
        <v>138</v>
      </c>
      <c r="M53" s="367" t="s">
        <v>137</v>
      </c>
      <c r="N53" s="367" t="s">
        <v>138</v>
      </c>
      <c r="O53" s="367" t="s">
        <v>138</v>
      </c>
      <c r="P53" s="367" t="s">
        <v>138</v>
      </c>
      <c r="Q53" s="367" t="s">
        <v>139</v>
      </c>
      <c r="R53" s="412" t="s">
        <v>139</v>
      </c>
      <c r="S53" s="163"/>
    </row>
    <row r="54" spans="1:19" s="18" customFormat="1" ht="45">
      <c r="A54" s="514" t="str">
        <f>1!A58</f>
        <v>1.4.2.5</v>
      </c>
      <c r="B54" s="410"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54" s="513" t="str">
        <f>1!C58</f>
        <v>G_Gelezno_ТР5</v>
      </c>
      <c r="D54" s="367" t="s">
        <v>135</v>
      </c>
      <c r="E54" s="367" t="s">
        <v>136</v>
      </c>
      <c r="F54" s="367" t="s">
        <v>587</v>
      </c>
      <c r="G54" s="350" t="s">
        <v>588</v>
      </c>
      <c r="H54" s="367" t="s">
        <v>138</v>
      </c>
      <c r="I54" s="367" t="s">
        <v>138</v>
      </c>
      <c r="J54" s="367" t="s">
        <v>138</v>
      </c>
      <c r="K54" s="367" t="s">
        <v>138</v>
      </c>
      <c r="L54" s="367" t="s">
        <v>138</v>
      </c>
      <c r="M54" s="367" t="s">
        <v>137</v>
      </c>
      <c r="N54" s="367" t="s">
        <v>138</v>
      </c>
      <c r="O54" s="367" t="s">
        <v>138</v>
      </c>
      <c r="P54" s="367" t="s">
        <v>138</v>
      </c>
      <c r="Q54" s="367" t="s">
        <v>139</v>
      </c>
      <c r="R54" s="412" t="s">
        <v>139</v>
      </c>
      <c r="S54" s="163"/>
    </row>
    <row r="55" spans="1:19" s="18" customFormat="1" ht="30">
      <c r="A55" s="514" t="str">
        <f>1!A59</f>
        <v>1.4.2.6</v>
      </c>
      <c r="B55" s="410" t="str">
        <f>1!B59</f>
        <v>Строительство КЛ-10 кВ от РУ-10 кВ КТП-224 до КТП-247, п.Иноземцево, L=0,918 км (АСБ 3х120)</v>
      </c>
      <c r="C55" s="513" t="str">
        <f>1!C59</f>
        <v>G_Gelezno_ТР6</v>
      </c>
      <c r="D55" s="367" t="s">
        <v>135</v>
      </c>
      <c r="E55" s="367" t="s">
        <v>136</v>
      </c>
      <c r="F55" s="367" t="s">
        <v>587</v>
      </c>
      <c r="G55" s="350" t="s">
        <v>588</v>
      </c>
      <c r="H55" s="367" t="s">
        <v>138</v>
      </c>
      <c r="I55" s="367" t="s">
        <v>138</v>
      </c>
      <c r="J55" s="367" t="s">
        <v>138</v>
      </c>
      <c r="K55" s="367" t="s">
        <v>138</v>
      </c>
      <c r="L55" s="367" t="s">
        <v>138</v>
      </c>
      <c r="M55" s="367" t="s">
        <v>137</v>
      </c>
      <c r="N55" s="367" t="s">
        <v>138</v>
      </c>
      <c r="O55" s="367" t="s">
        <v>138</v>
      </c>
      <c r="P55" s="367" t="s">
        <v>138</v>
      </c>
      <c r="Q55" s="367" t="s">
        <v>139</v>
      </c>
      <c r="R55" s="412" t="s">
        <v>139</v>
      </c>
      <c r="S55" s="163"/>
    </row>
    <row r="56" spans="1:19" s="18" customFormat="1" ht="45">
      <c r="A56" s="515" t="str">
        <f>1!A60</f>
        <v>1.4.2.7</v>
      </c>
      <c r="B56" s="355" t="str">
        <f>1!B60</f>
        <v>Строительство КЛ-0,4 кВ от РУ-0,4 кВ ТП-50 (С-1) до ВРУ МКЖД по ул.Ленина,49(линия 1), г.Железноводск, L=0,061 км (АВБбШв 4х240)</v>
      </c>
      <c r="C56" s="513" t="str">
        <f>1!C60</f>
        <v>G_Gelezno_ТР7</v>
      </c>
      <c r="D56" s="45" t="s">
        <v>135</v>
      </c>
      <c r="E56" s="45" t="s">
        <v>136</v>
      </c>
      <c r="F56" s="45" t="s">
        <v>587</v>
      </c>
      <c r="G56" s="95" t="s">
        <v>588</v>
      </c>
      <c r="H56" s="45" t="s">
        <v>138</v>
      </c>
      <c r="I56" s="45" t="s">
        <v>138</v>
      </c>
      <c r="J56" s="45" t="s">
        <v>138</v>
      </c>
      <c r="K56" s="45" t="s">
        <v>138</v>
      </c>
      <c r="L56" s="45" t="s">
        <v>138</v>
      </c>
      <c r="M56" s="45" t="s">
        <v>137</v>
      </c>
      <c r="N56" s="45" t="s">
        <v>138</v>
      </c>
      <c r="O56" s="45" t="s">
        <v>138</v>
      </c>
      <c r="P56" s="45" t="s">
        <v>138</v>
      </c>
      <c r="Q56" s="45" t="s">
        <v>139</v>
      </c>
      <c r="R56" s="279" t="s">
        <v>139</v>
      </c>
      <c r="S56" s="163"/>
    </row>
    <row r="57" spans="1:19" s="18" customFormat="1" ht="45">
      <c r="A57" s="514" t="str">
        <f>1!A61</f>
        <v>1.4.2.8</v>
      </c>
      <c r="B57" s="410" t="str">
        <f>1!B61</f>
        <v>Строительство КЛ-0,4 кВ от РУ-0,4 кВ ТП-50(С-2) до ВРУ МКЖД по ул.Ленина,49(линия 2), г.Железноводск, L=0,061 км (АВБбШв 4х240)</v>
      </c>
      <c r="C57" s="513" t="str">
        <f>1!C61</f>
        <v>G_Gelezno_ТР8</v>
      </c>
      <c r="D57" s="367" t="s">
        <v>135</v>
      </c>
      <c r="E57" s="367" t="s">
        <v>136</v>
      </c>
      <c r="F57" s="367" t="s">
        <v>587</v>
      </c>
      <c r="G57" s="350" t="s">
        <v>588</v>
      </c>
      <c r="H57" s="367" t="s">
        <v>138</v>
      </c>
      <c r="I57" s="367" t="s">
        <v>138</v>
      </c>
      <c r="J57" s="367" t="s">
        <v>138</v>
      </c>
      <c r="K57" s="367" t="s">
        <v>138</v>
      </c>
      <c r="L57" s="367" t="s">
        <v>138</v>
      </c>
      <c r="M57" s="367" t="s">
        <v>137</v>
      </c>
      <c r="N57" s="367" t="s">
        <v>138</v>
      </c>
      <c r="O57" s="367" t="s">
        <v>138</v>
      </c>
      <c r="P57" s="367" t="s">
        <v>138</v>
      </c>
      <c r="Q57" s="367" t="s">
        <v>139</v>
      </c>
      <c r="R57" s="412" t="s">
        <v>139</v>
      </c>
      <c r="S57" s="163"/>
    </row>
    <row r="58" spans="1:19" s="18" customFormat="1" ht="30">
      <c r="A58" s="514" t="str">
        <f>1!A62</f>
        <v>1.4.2.9</v>
      </c>
      <c r="B58" s="410" t="str">
        <f>1!B62</f>
        <v>Строительство КТП-105 ул.Октябрьская, 96 Б, п.Иноземцево (250 кВА)</v>
      </c>
      <c r="C58" s="513" t="str">
        <f>1!C62</f>
        <v>G_Gelezno_ТР9</v>
      </c>
      <c r="D58" s="367" t="s">
        <v>135</v>
      </c>
      <c r="E58" s="367" t="s">
        <v>136</v>
      </c>
      <c r="F58" s="367" t="s">
        <v>587</v>
      </c>
      <c r="G58" s="350" t="s">
        <v>588</v>
      </c>
      <c r="H58" s="367" t="s">
        <v>138</v>
      </c>
      <c r="I58" s="367" t="s">
        <v>138</v>
      </c>
      <c r="J58" s="367" t="s">
        <v>138</v>
      </c>
      <c r="K58" s="367" t="s">
        <v>138</v>
      </c>
      <c r="L58" s="367" t="s">
        <v>138</v>
      </c>
      <c r="M58" s="367" t="s">
        <v>137</v>
      </c>
      <c r="N58" s="367" t="s">
        <v>138</v>
      </c>
      <c r="O58" s="367" t="s">
        <v>138</v>
      </c>
      <c r="P58" s="367" t="s">
        <v>138</v>
      </c>
      <c r="Q58" s="367" t="s">
        <v>139</v>
      </c>
      <c r="R58" s="412" t="s">
        <v>139</v>
      </c>
      <c r="S58" s="163"/>
    </row>
    <row r="59" spans="1:19" s="18" customFormat="1" ht="45">
      <c r="A59" s="514" t="str">
        <f>1!A63</f>
        <v>1.4.2.10</v>
      </c>
      <c r="B59" s="410" t="str">
        <f>1!B63</f>
        <v>Строительство КЛ-0,4 кВ от РП-2 (С-1) до ВРУ тренировочной площадки стадииона "Спартак" ул.Калинина,3 (линия 1), г.Железноводск, L= 0,245 км (АВБбШв 4х240)</v>
      </c>
      <c r="C59" s="513" t="str">
        <f>1!C63</f>
        <v>G_Gelezno_ТР10</v>
      </c>
      <c r="D59" s="367" t="s">
        <v>135</v>
      </c>
      <c r="E59" s="367" t="s">
        <v>136</v>
      </c>
      <c r="F59" s="367" t="s">
        <v>587</v>
      </c>
      <c r="G59" s="350" t="s">
        <v>588</v>
      </c>
      <c r="H59" s="367" t="s">
        <v>138</v>
      </c>
      <c r="I59" s="367" t="s">
        <v>138</v>
      </c>
      <c r="J59" s="367" t="s">
        <v>138</v>
      </c>
      <c r="K59" s="367" t="s">
        <v>138</v>
      </c>
      <c r="L59" s="367" t="s">
        <v>138</v>
      </c>
      <c r="M59" s="367" t="s">
        <v>137</v>
      </c>
      <c r="N59" s="367" t="s">
        <v>138</v>
      </c>
      <c r="O59" s="367" t="s">
        <v>138</v>
      </c>
      <c r="P59" s="367" t="s">
        <v>138</v>
      </c>
      <c r="Q59" s="367" t="s">
        <v>139</v>
      </c>
      <c r="R59" s="412" t="s">
        <v>139</v>
      </c>
      <c r="S59" s="163"/>
    </row>
    <row r="60" spans="1:19" s="18" customFormat="1" ht="45">
      <c r="A60" s="514" t="str">
        <f>1!A64</f>
        <v>1.4.2.11</v>
      </c>
      <c r="B60" s="410" t="str">
        <f>1!B64</f>
        <v>Строительство КЛ-0,4 кВ от РП-2 (С-2) до ВРУ тренировочной площадки стадиона "Спартак" ул.Калинина,3 (линия 2), г.Железноводск, L= 0,245 км (АВБбШв 4х240)</v>
      </c>
      <c r="C60" s="513" t="str">
        <f>1!C64</f>
        <v>G_Gelezno_ТР11</v>
      </c>
      <c r="D60" s="367" t="s">
        <v>135</v>
      </c>
      <c r="E60" s="367" t="s">
        <v>136</v>
      </c>
      <c r="F60" s="367" t="s">
        <v>587</v>
      </c>
      <c r="G60" s="350" t="s">
        <v>588</v>
      </c>
      <c r="H60" s="367" t="s">
        <v>138</v>
      </c>
      <c r="I60" s="367" t="s">
        <v>138</v>
      </c>
      <c r="J60" s="367" t="s">
        <v>138</v>
      </c>
      <c r="K60" s="367" t="s">
        <v>138</v>
      </c>
      <c r="L60" s="367" t="s">
        <v>138</v>
      </c>
      <c r="M60" s="367" t="s">
        <v>137</v>
      </c>
      <c r="N60" s="367" t="s">
        <v>138</v>
      </c>
      <c r="O60" s="367" t="s">
        <v>138</v>
      </c>
      <c r="P60" s="367" t="s">
        <v>138</v>
      </c>
      <c r="Q60" s="367" t="s">
        <v>139</v>
      </c>
      <c r="R60" s="412" t="s">
        <v>139</v>
      </c>
      <c r="S60" s="163"/>
    </row>
    <row r="61" spans="1:19" s="18" customFormat="1" ht="30">
      <c r="A61" s="514" t="str">
        <f>1!A65</f>
        <v>1.4.2.12</v>
      </c>
      <c r="B61" s="410" t="str">
        <f>1!B65</f>
        <v>Строительство КТП-248 ул.Тихая,8, п.Иноземцево (ТМГ-250 кВА)</v>
      </c>
      <c r="C61" s="513" t="str">
        <f>1!C65</f>
        <v>G_Gelezno_ТР12</v>
      </c>
      <c r="D61" s="367" t="s">
        <v>135</v>
      </c>
      <c r="E61" s="367" t="s">
        <v>136</v>
      </c>
      <c r="F61" s="367" t="s">
        <v>587</v>
      </c>
      <c r="G61" s="350" t="s">
        <v>588</v>
      </c>
      <c r="H61" s="367" t="s">
        <v>138</v>
      </c>
      <c r="I61" s="367" t="s">
        <v>138</v>
      </c>
      <c r="J61" s="367" t="s">
        <v>138</v>
      </c>
      <c r="K61" s="367" t="s">
        <v>138</v>
      </c>
      <c r="L61" s="367" t="s">
        <v>138</v>
      </c>
      <c r="M61" s="367" t="s">
        <v>137</v>
      </c>
      <c r="N61" s="367" t="s">
        <v>138</v>
      </c>
      <c r="O61" s="367" t="s">
        <v>138</v>
      </c>
      <c r="P61" s="367" t="s">
        <v>138</v>
      </c>
      <c r="Q61" s="367" t="s">
        <v>139</v>
      </c>
      <c r="R61" s="412" t="s">
        <v>139</v>
      </c>
      <c r="S61" s="163"/>
    </row>
    <row r="62" spans="1:19" s="18" customFormat="1" ht="30">
      <c r="A62" s="514" t="str">
        <f>1!A66</f>
        <v>1.4.2.13</v>
      </c>
      <c r="B62" s="410" t="str">
        <f>1!B66</f>
        <v>Строительство ВЛ-0,4 кВ от КТП-233 до ВРУ магазина ул.Вокзальная, 46А, п.Иноземцево, L= 0,408 км (СИП-2 3х50+1х54,6)</v>
      </c>
      <c r="C62" s="513" t="str">
        <f>1!C66</f>
        <v>G_Gelezno_ТР13</v>
      </c>
      <c r="D62" s="367" t="s">
        <v>135</v>
      </c>
      <c r="E62" s="367" t="s">
        <v>136</v>
      </c>
      <c r="F62" s="367" t="s">
        <v>587</v>
      </c>
      <c r="G62" s="350" t="s">
        <v>588</v>
      </c>
      <c r="H62" s="367" t="s">
        <v>138</v>
      </c>
      <c r="I62" s="367" t="s">
        <v>138</v>
      </c>
      <c r="J62" s="367" t="s">
        <v>138</v>
      </c>
      <c r="K62" s="367" t="s">
        <v>138</v>
      </c>
      <c r="L62" s="367" t="s">
        <v>138</v>
      </c>
      <c r="M62" s="367" t="s">
        <v>137</v>
      </c>
      <c r="N62" s="367" t="s">
        <v>138</v>
      </c>
      <c r="O62" s="367" t="s">
        <v>138</v>
      </c>
      <c r="P62" s="367" t="s">
        <v>138</v>
      </c>
      <c r="Q62" s="367" t="s">
        <v>139</v>
      </c>
      <c r="R62" s="412" t="s">
        <v>139</v>
      </c>
      <c r="S62" s="163"/>
    </row>
    <row r="63" spans="1:19" s="18" customFormat="1" ht="30">
      <c r="A63" s="514" t="str">
        <f>1!A67</f>
        <v>1.4.2.14</v>
      </c>
      <c r="B63" s="410" t="str">
        <f>1!B67</f>
        <v>Строительство ВЛ-0,4 кВ от РУ-0,4кВ ТП-75 (С-1) по ул.Ленина район дома 123, г.Железноводск, L= 0,143 км (СИП-2 3х50+1х54,6)</v>
      </c>
      <c r="C63" s="513" t="str">
        <f>1!C67</f>
        <v>G_Gelezno_ТР14</v>
      </c>
      <c r="D63" s="367" t="s">
        <v>135</v>
      </c>
      <c r="E63" s="367" t="s">
        <v>136</v>
      </c>
      <c r="F63" s="367" t="s">
        <v>587</v>
      </c>
      <c r="G63" s="350" t="s">
        <v>588</v>
      </c>
      <c r="H63" s="367" t="s">
        <v>138</v>
      </c>
      <c r="I63" s="367" t="s">
        <v>138</v>
      </c>
      <c r="J63" s="367" t="s">
        <v>138</v>
      </c>
      <c r="K63" s="367" t="s">
        <v>138</v>
      </c>
      <c r="L63" s="367" t="s">
        <v>138</v>
      </c>
      <c r="M63" s="367" t="s">
        <v>137</v>
      </c>
      <c r="N63" s="367" t="s">
        <v>138</v>
      </c>
      <c r="O63" s="367" t="s">
        <v>138</v>
      </c>
      <c r="P63" s="367" t="s">
        <v>138</v>
      </c>
      <c r="Q63" s="367" t="s">
        <v>139</v>
      </c>
      <c r="R63" s="412" t="s">
        <v>139</v>
      </c>
      <c r="S63" s="163"/>
    </row>
    <row r="64" spans="1:19" s="18" customFormat="1" ht="30">
      <c r="A64" s="514" t="str">
        <f>1!A68</f>
        <v>1.4.2.15</v>
      </c>
      <c r="B64" s="410" t="str">
        <f>1!B68</f>
        <v>Строительство ВЛ-0,4кВ от РУ-0,4 кВ ТП-75 (С-2) по ул.Ленина район дома 123, г.Железноводск, L= 0,143 км (СИП-2 3х50+1х54,6)</v>
      </c>
      <c r="C64" s="513" t="str">
        <f>1!C68</f>
        <v>G_Gelezno_ТР15</v>
      </c>
      <c r="D64" s="367" t="s">
        <v>135</v>
      </c>
      <c r="E64" s="367" t="s">
        <v>136</v>
      </c>
      <c r="F64" s="367" t="s">
        <v>587</v>
      </c>
      <c r="G64" s="350" t="s">
        <v>588</v>
      </c>
      <c r="H64" s="367" t="s">
        <v>138</v>
      </c>
      <c r="I64" s="367" t="s">
        <v>138</v>
      </c>
      <c r="J64" s="367" t="s">
        <v>138</v>
      </c>
      <c r="K64" s="367" t="s">
        <v>138</v>
      </c>
      <c r="L64" s="367" t="s">
        <v>138</v>
      </c>
      <c r="M64" s="367" t="s">
        <v>137</v>
      </c>
      <c r="N64" s="367" t="s">
        <v>138</v>
      </c>
      <c r="O64" s="367" t="s">
        <v>138</v>
      </c>
      <c r="P64" s="367" t="s">
        <v>138</v>
      </c>
      <c r="Q64" s="367" t="s">
        <v>139</v>
      </c>
      <c r="R64" s="412" t="s">
        <v>139</v>
      </c>
      <c r="S64" s="163"/>
    </row>
    <row r="65" spans="1:19" s="18" customFormat="1" ht="30">
      <c r="A65" s="514" t="str">
        <f>1!A69</f>
        <v>1.4.2.16</v>
      </c>
      <c r="B65" s="410" t="str">
        <f>1!B69</f>
        <v>Строительство КЛ-0,4 кВ от ВРУ-1 до ВРУ-2 в ЖК "Вишнёвый сад" (2-ая очередь), п.Иноземцево, L= 0,04 км (АВБбШв 4х120)</v>
      </c>
      <c r="C65" s="513" t="str">
        <f>1!C69</f>
        <v>G_Gelezno_ТР16</v>
      </c>
      <c r="D65" s="367" t="s">
        <v>135</v>
      </c>
      <c r="E65" s="367" t="s">
        <v>136</v>
      </c>
      <c r="F65" s="367" t="s">
        <v>587</v>
      </c>
      <c r="G65" s="350" t="s">
        <v>588</v>
      </c>
      <c r="H65" s="367" t="s">
        <v>138</v>
      </c>
      <c r="I65" s="367" t="s">
        <v>138</v>
      </c>
      <c r="J65" s="367" t="s">
        <v>138</v>
      </c>
      <c r="K65" s="367" t="s">
        <v>138</v>
      </c>
      <c r="L65" s="367" t="s">
        <v>138</v>
      </c>
      <c r="M65" s="367" t="s">
        <v>137</v>
      </c>
      <c r="N65" s="367" t="s">
        <v>138</v>
      </c>
      <c r="O65" s="367" t="s">
        <v>138</v>
      </c>
      <c r="P65" s="367" t="s">
        <v>138</v>
      </c>
      <c r="Q65" s="367" t="s">
        <v>139</v>
      </c>
      <c r="R65" s="412" t="s">
        <v>139</v>
      </c>
      <c r="S65" s="163"/>
    </row>
    <row r="66" spans="1:19" s="18" customFormat="1" ht="30">
      <c r="A66" s="514" t="str">
        <f>1!A70</f>
        <v>1.4.2.17</v>
      </c>
      <c r="B66" s="410" t="str">
        <f>1!B70</f>
        <v>Строительство КЛ-0,4кВ от ВРУ-11 до ВРУ-12 в ЖК"Вишнёвый сад" (2-ая очередь), п.Иноземцево, L= 0,035 км (АВБбШв 4х95)</v>
      </c>
      <c r="C66" s="513" t="str">
        <f>1!C70</f>
        <v>G_Gelezno_ТР17</v>
      </c>
      <c r="D66" s="367" t="s">
        <v>135</v>
      </c>
      <c r="E66" s="367" t="s">
        <v>136</v>
      </c>
      <c r="F66" s="367" t="s">
        <v>587</v>
      </c>
      <c r="G66" s="350" t="s">
        <v>588</v>
      </c>
      <c r="H66" s="367" t="s">
        <v>138</v>
      </c>
      <c r="I66" s="367" t="s">
        <v>138</v>
      </c>
      <c r="J66" s="367" t="s">
        <v>138</v>
      </c>
      <c r="K66" s="367" t="s">
        <v>138</v>
      </c>
      <c r="L66" s="367" t="s">
        <v>138</v>
      </c>
      <c r="M66" s="367" t="s">
        <v>137</v>
      </c>
      <c r="N66" s="367" t="s">
        <v>138</v>
      </c>
      <c r="O66" s="367" t="s">
        <v>138</v>
      </c>
      <c r="P66" s="367" t="s">
        <v>138</v>
      </c>
      <c r="Q66" s="367" t="s">
        <v>139</v>
      </c>
      <c r="R66" s="412" t="s">
        <v>139</v>
      </c>
      <c r="S66" s="163"/>
    </row>
    <row r="67" spans="1:19" s="18" customFormat="1" ht="30">
      <c r="A67" s="514" t="str">
        <f>1!A71</f>
        <v>1.4.2.18</v>
      </c>
      <c r="B67" s="410" t="str">
        <f>1!B71</f>
        <v>Строительство КЛ-0,4кВ от ВРУ-13 до ВРУ-14 в ЖК"Вишнёвый сад" (2-ая очередь), п.Иноземцево, L= 0,035 км (АВБбШв 4х95)</v>
      </c>
      <c r="C67" s="513" t="str">
        <f>1!C71</f>
        <v>G_Gelezno_ТР18</v>
      </c>
      <c r="D67" s="367" t="s">
        <v>135</v>
      </c>
      <c r="E67" s="367" t="s">
        <v>136</v>
      </c>
      <c r="F67" s="367" t="s">
        <v>587</v>
      </c>
      <c r="G67" s="350" t="s">
        <v>588</v>
      </c>
      <c r="H67" s="367" t="s">
        <v>138</v>
      </c>
      <c r="I67" s="367" t="s">
        <v>138</v>
      </c>
      <c r="J67" s="367" t="s">
        <v>138</v>
      </c>
      <c r="K67" s="367" t="s">
        <v>138</v>
      </c>
      <c r="L67" s="367" t="s">
        <v>138</v>
      </c>
      <c r="M67" s="367" t="s">
        <v>137</v>
      </c>
      <c r="N67" s="367" t="s">
        <v>138</v>
      </c>
      <c r="O67" s="367" t="s">
        <v>138</v>
      </c>
      <c r="P67" s="367" t="s">
        <v>138</v>
      </c>
      <c r="Q67" s="367" t="s">
        <v>139</v>
      </c>
      <c r="R67" s="412" t="s">
        <v>139</v>
      </c>
      <c r="S67" s="163"/>
    </row>
    <row r="68" spans="1:19" s="18" customFormat="1" ht="30">
      <c r="A68" s="514" t="str">
        <f>1!A72</f>
        <v>1.4.2.19</v>
      </c>
      <c r="B68" s="410" t="str">
        <f>1!B72</f>
        <v>Строительство КЛ-0,4 кВ от ВРУ-9 до ВРУ-10 в ЖК "Вишнёвый сад" (2-ая очередь), п.Иноземцево, L= 0,035 км (АВБбШв 4х95)</v>
      </c>
      <c r="C68" s="513" t="str">
        <f>1!C72</f>
        <v>G_Gelezno_ТР19</v>
      </c>
      <c r="D68" s="367" t="s">
        <v>135</v>
      </c>
      <c r="E68" s="367" t="s">
        <v>136</v>
      </c>
      <c r="F68" s="367" t="s">
        <v>587</v>
      </c>
      <c r="G68" s="350" t="s">
        <v>588</v>
      </c>
      <c r="H68" s="367" t="s">
        <v>138</v>
      </c>
      <c r="I68" s="367" t="s">
        <v>138</v>
      </c>
      <c r="J68" s="367" t="s">
        <v>138</v>
      </c>
      <c r="K68" s="367" t="s">
        <v>138</v>
      </c>
      <c r="L68" s="367" t="s">
        <v>138</v>
      </c>
      <c r="M68" s="367" t="s">
        <v>137</v>
      </c>
      <c r="N68" s="367" t="s">
        <v>138</v>
      </c>
      <c r="O68" s="367" t="s">
        <v>138</v>
      </c>
      <c r="P68" s="367" t="s">
        <v>138</v>
      </c>
      <c r="Q68" s="367" t="s">
        <v>139</v>
      </c>
      <c r="R68" s="412" t="s">
        <v>139</v>
      </c>
      <c r="S68" s="163"/>
    </row>
    <row r="69" spans="1:19" s="18" customFormat="1" ht="45">
      <c r="A69" s="514" t="str">
        <f>1!A73</f>
        <v>1.4.2.20</v>
      </c>
      <c r="B69" s="410" t="str">
        <f>1!B73</f>
        <v>Строительство КЛ-0,4 кВ от РУ-0,4 кВ 2КТП-244 до ВРУ-10 в ЖК "Вишнёвый сад" (2-ая очередь), п.Иноземцево, L= 0,19 км (АВБбШв 4х120)</v>
      </c>
      <c r="C69" s="513" t="str">
        <f>1!C73</f>
        <v>G_Gelezno_ТР20</v>
      </c>
      <c r="D69" s="367" t="s">
        <v>135</v>
      </c>
      <c r="E69" s="367" t="s">
        <v>136</v>
      </c>
      <c r="F69" s="367" t="s">
        <v>587</v>
      </c>
      <c r="G69" s="350" t="s">
        <v>588</v>
      </c>
      <c r="H69" s="367" t="s">
        <v>138</v>
      </c>
      <c r="I69" s="367" t="s">
        <v>138</v>
      </c>
      <c r="J69" s="367" t="s">
        <v>138</v>
      </c>
      <c r="K69" s="367" t="s">
        <v>138</v>
      </c>
      <c r="L69" s="367" t="s">
        <v>138</v>
      </c>
      <c r="M69" s="367" t="s">
        <v>137</v>
      </c>
      <c r="N69" s="367" t="s">
        <v>138</v>
      </c>
      <c r="O69" s="367" t="s">
        <v>138</v>
      </c>
      <c r="P69" s="367" t="s">
        <v>138</v>
      </c>
      <c r="Q69" s="367" t="s">
        <v>139</v>
      </c>
      <c r="R69" s="412" t="s">
        <v>139</v>
      </c>
      <c r="S69" s="163"/>
    </row>
    <row r="70" spans="1:19" s="18" customFormat="1" ht="45">
      <c r="A70" s="514" t="str">
        <f>1!A74</f>
        <v>1.4.2.21</v>
      </c>
      <c r="B70" s="410" t="str">
        <f>1!B74</f>
        <v>Строительство КЛ-0,4 кВ от РУ-0,4 кВ 2КТП-244 до ВРУ-11 в ЖК "Вишнёвый сад" (2-ая очередь), п.Иноземцево, L= 0,14 км (АВБбШв 4х95)</v>
      </c>
      <c r="C70" s="513" t="str">
        <f>1!C74</f>
        <v>G_Gelezno_ТР21</v>
      </c>
      <c r="D70" s="367" t="s">
        <v>135</v>
      </c>
      <c r="E70" s="367" t="s">
        <v>136</v>
      </c>
      <c r="F70" s="367" t="s">
        <v>587</v>
      </c>
      <c r="G70" s="350" t="s">
        <v>588</v>
      </c>
      <c r="H70" s="367" t="s">
        <v>138</v>
      </c>
      <c r="I70" s="367" t="s">
        <v>138</v>
      </c>
      <c r="J70" s="367" t="s">
        <v>138</v>
      </c>
      <c r="K70" s="367" t="s">
        <v>138</v>
      </c>
      <c r="L70" s="367" t="s">
        <v>138</v>
      </c>
      <c r="M70" s="367" t="s">
        <v>137</v>
      </c>
      <c r="N70" s="367" t="s">
        <v>138</v>
      </c>
      <c r="O70" s="367" t="s">
        <v>138</v>
      </c>
      <c r="P70" s="367" t="s">
        <v>138</v>
      </c>
      <c r="Q70" s="367" t="s">
        <v>139</v>
      </c>
      <c r="R70" s="412" t="s">
        <v>139</v>
      </c>
      <c r="S70" s="163"/>
    </row>
    <row r="71" spans="1:19" s="18" customFormat="1" ht="45">
      <c r="A71" s="514" t="str">
        <f>1!A75</f>
        <v>1.4.2.22</v>
      </c>
      <c r="B71" s="410" t="str">
        <f>1!B75</f>
        <v>Строительство КЛ-0,4 кВ от РУ-0,4 кВ 2КТП-244 до ВРУ-13 в ЖК "Вишнёвый сад" (2-ая очередь), п.Иноземцево, L= 0,06 км (АВБбШв 4х120)</v>
      </c>
      <c r="C71" s="513" t="str">
        <f>1!C75</f>
        <v>G_Gelezno_ТР22</v>
      </c>
      <c r="D71" s="367" t="s">
        <v>135</v>
      </c>
      <c r="E71" s="367" t="s">
        <v>136</v>
      </c>
      <c r="F71" s="367" t="s">
        <v>587</v>
      </c>
      <c r="G71" s="350" t="s">
        <v>588</v>
      </c>
      <c r="H71" s="367" t="s">
        <v>138</v>
      </c>
      <c r="I71" s="367" t="s">
        <v>138</v>
      </c>
      <c r="J71" s="367" t="s">
        <v>138</v>
      </c>
      <c r="K71" s="367" t="s">
        <v>138</v>
      </c>
      <c r="L71" s="367" t="s">
        <v>138</v>
      </c>
      <c r="M71" s="367" t="s">
        <v>137</v>
      </c>
      <c r="N71" s="367" t="s">
        <v>138</v>
      </c>
      <c r="O71" s="367" t="s">
        <v>138</v>
      </c>
      <c r="P71" s="367" t="s">
        <v>138</v>
      </c>
      <c r="Q71" s="367" t="s">
        <v>139</v>
      </c>
      <c r="R71" s="412" t="s">
        <v>139</v>
      </c>
      <c r="S71" s="163"/>
    </row>
    <row r="72" spans="1:19" s="18" customFormat="1" ht="45">
      <c r="A72" s="514" t="str">
        <f>1!A76</f>
        <v>1.4.2.23</v>
      </c>
      <c r="B72" s="410" t="str">
        <f>1!B76</f>
        <v>Строительство КЛ-0,4 кВ от РУ-0,4 кВ 2КТП-244 до ВРУ-14 в ЖК "Вишнёвый сад" (2-ая очередь), п.Иноземцево, L= 0,1 км (АВБбШв 4х120)</v>
      </c>
      <c r="C72" s="513" t="str">
        <f>1!C76</f>
        <v>G_Gelezno_ТР23</v>
      </c>
      <c r="D72" s="367" t="s">
        <v>135</v>
      </c>
      <c r="E72" s="367" t="s">
        <v>136</v>
      </c>
      <c r="F72" s="367" t="s">
        <v>587</v>
      </c>
      <c r="G72" s="350" t="s">
        <v>588</v>
      </c>
      <c r="H72" s="367" t="s">
        <v>138</v>
      </c>
      <c r="I72" s="367" t="s">
        <v>138</v>
      </c>
      <c r="J72" s="367" t="s">
        <v>138</v>
      </c>
      <c r="K72" s="367" t="s">
        <v>138</v>
      </c>
      <c r="L72" s="367" t="s">
        <v>138</v>
      </c>
      <c r="M72" s="367" t="s">
        <v>137</v>
      </c>
      <c r="N72" s="367" t="s">
        <v>138</v>
      </c>
      <c r="O72" s="367" t="s">
        <v>138</v>
      </c>
      <c r="P72" s="367" t="s">
        <v>138</v>
      </c>
      <c r="Q72" s="367" t="s">
        <v>139</v>
      </c>
      <c r="R72" s="412" t="s">
        <v>139</v>
      </c>
      <c r="S72" s="163"/>
    </row>
    <row r="73" spans="1:19" s="18" customFormat="1" ht="45">
      <c r="A73" s="514" t="str">
        <f>1!A77</f>
        <v>1.4.2.24</v>
      </c>
      <c r="B73" s="410" t="str">
        <f>1!B77</f>
        <v>Строительство КЛ-0,4 кВ от РУ-0,4 кВ 2КТП-244 до ВРУ-16 в ЖК "Вишнёвый сад" (2-ая очередь), п.Иноземцево, L= 0,11 км (АВБбШв 4х95)</v>
      </c>
      <c r="C73" s="513" t="str">
        <f>1!C77</f>
        <v>G_Gelezno_ТР24</v>
      </c>
      <c r="D73" s="367" t="s">
        <v>135</v>
      </c>
      <c r="E73" s="367" t="s">
        <v>136</v>
      </c>
      <c r="F73" s="367" t="s">
        <v>587</v>
      </c>
      <c r="G73" s="350" t="s">
        <v>588</v>
      </c>
      <c r="H73" s="367" t="s">
        <v>138</v>
      </c>
      <c r="I73" s="367" t="s">
        <v>138</v>
      </c>
      <c r="J73" s="367" t="s">
        <v>138</v>
      </c>
      <c r="K73" s="367" t="s">
        <v>138</v>
      </c>
      <c r="L73" s="367" t="s">
        <v>138</v>
      </c>
      <c r="M73" s="367" t="s">
        <v>137</v>
      </c>
      <c r="N73" s="367" t="s">
        <v>138</v>
      </c>
      <c r="O73" s="367" t="s">
        <v>138</v>
      </c>
      <c r="P73" s="367" t="s">
        <v>138</v>
      </c>
      <c r="Q73" s="367" t="s">
        <v>139</v>
      </c>
      <c r="R73" s="412" t="s">
        <v>139</v>
      </c>
      <c r="S73" s="163"/>
    </row>
    <row r="74" spans="1:19" s="18" customFormat="1" ht="45">
      <c r="A74" s="514" t="str">
        <f>1!A78</f>
        <v>1.4.2.25</v>
      </c>
      <c r="B74" s="410" t="str">
        <f>1!B78</f>
        <v>Строительство КЛ-0,4 кВ от РУ-0,4 кВ 2КТП-244 до ВРУ-9 в ЖК "Вишнёвый сад" (2-ая очередь), п.Иноземцево, L= 0,215 км (АВБбШв 4х120)</v>
      </c>
      <c r="C74" s="513" t="str">
        <f>1!C78</f>
        <v>G_Gelezno_ТР25</v>
      </c>
      <c r="D74" s="367" t="s">
        <v>135</v>
      </c>
      <c r="E74" s="367" t="s">
        <v>136</v>
      </c>
      <c r="F74" s="367" t="s">
        <v>587</v>
      </c>
      <c r="G74" s="350" t="s">
        <v>588</v>
      </c>
      <c r="H74" s="367" t="s">
        <v>138</v>
      </c>
      <c r="I74" s="367" t="s">
        <v>138</v>
      </c>
      <c r="J74" s="367" t="s">
        <v>138</v>
      </c>
      <c r="K74" s="367" t="s">
        <v>138</v>
      </c>
      <c r="L74" s="367" t="s">
        <v>138</v>
      </c>
      <c r="M74" s="367" t="s">
        <v>137</v>
      </c>
      <c r="N74" s="367" t="s">
        <v>138</v>
      </c>
      <c r="O74" s="367" t="s">
        <v>138</v>
      </c>
      <c r="P74" s="367" t="s">
        <v>138</v>
      </c>
      <c r="Q74" s="367" t="s">
        <v>139</v>
      </c>
      <c r="R74" s="412" t="s">
        <v>139</v>
      </c>
      <c r="S74" s="163"/>
    </row>
    <row r="75" spans="1:19" s="18" customFormat="1" ht="30">
      <c r="A75" s="514" t="str">
        <f>1!A79</f>
        <v>1.4.2.26</v>
      </c>
      <c r="B75" s="410" t="str">
        <f>1!B79</f>
        <v>Строительство КЛ-0,4 кВ от ВРУ-1 МКЖД до ВРУ-2 МКЖД ул.Тихая,8, п.Иноземцево, L= 0,071 км (АВВГ 4х35)</v>
      </c>
      <c r="C75" s="513" t="str">
        <f>1!C79</f>
        <v>G_Gelezno_ТР26</v>
      </c>
      <c r="D75" s="367" t="s">
        <v>135</v>
      </c>
      <c r="E75" s="367" t="s">
        <v>136</v>
      </c>
      <c r="F75" s="367" t="s">
        <v>587</v>
      </c>
      <c r="G75" s="350" t="s">
        <v>588</v>
      </c>
      <c r="H75" s="367" t="s">
        <v>138</v>
      </c>
      <c r="I75" s="367" t="s">
        <v>138</v>
      </c>
      <c r="J75" s="367" t="s">
        <v>138</v>
      </c>
      <c r="K75" s="367" t="s">
        <v>138</v>
      </c>
      <c r="L75" s="367" t="s">
        <v>138</v>
      </c>
      <c r="M75" s="367" t="s">
        <v>137</v>
      </c>
      <c r="N75" s="367" t="s">
        <v>138</v>
      </c>
      <c r="O75" s="367" t="s">
        <v>138</v>
      </c>
      <c r="P75" s="367" t="s">
        <v>138</v>
      </c>
      <c r="Q75" s="367" t="s">
        <v>139</v>
      </c>
      <c r="R75" s="412" t="s">
        <v>139</v>
      </c>
      <c r="S75" s="163"/>
    </row>
    <row r="76" spans="1:19" s="18" customFormat="1" ht="30">
      <c r="A76" s="514" t="str">
        <f>1!A80</f>
        <v>1.4.2.27</v>
      </c>
      <c r="B76" s="410" t="str">
        <f>1!B80</f>
        <v>Строительство КЛ-0,4 кВ от ВРУ-2 МКЖД до ВРУ-3 МКЖД ул.Тихая,8, п.Иноземцево, L= 0,025 км (АВВГ 4х35)</v>
      </c>
      <c r="C76" s="513" t="str">
        <f>1!C80</f>
        <v>G_Gelezno_ТР27</v>
      </c>
      <c r="D76" s="367" t="s">
        <v>135</v>
      </c>
      <c r="E76" s="367" t="s">
        <v>136</v>
      </c>
      <c r="F76" s="367" t="s">
        <v>587</v>
      </c>
      <c r="G76" s="350" t="s">
        <v>588</v>
      </c>
      <c r="H76" s="367" t="s">
        <v>138</v>
      </c>
      <c r="I76" s="367" t="s">
        <v>138</v>
      </c>
      <c r="J76" s="367" t="s">
        <v>138</v>
      </c>
      <c r="K76" s="367" t="s">
        <v>138</v>
      </c>
      <c r="L76" s="367" t="s">
        <v>138</v>
      </c>
      <c r="M76" s="367" t="s">
        <v>137</v>
      </c>
      <c r="N76" s="367" t="s">
        <v>138</v>
      </c>
      <c r="O76" s="367" t="s">
        <v>138</v>
      </c>
      <c r="P76" s="367" t="s">
        <v>138</v>
      </c>
      <c r="Q76" s="367" t="s">
        <v>139</v>
      </c>
      <c r="R76" s="412" t="s">
        <v>139</v>
      </c>
      <c r="S76" s="163"/>
    </row>
    <row r="77" spans="1:19" s="18" customFormat="1" ht="30">
      <c r="A77" s="514" t="str">
        <f>1!A81</f>
        <v>1.4.2.28</v>
      </c>
      <c r="B77" s="410" t="str">
        <f>1!B81</f>
        <v>Строительство КЛ-0,4 кВ от ВРУ-3 МКЖД до РУ-0,4 кВ КТП-248 ул.Тихая,8, п.Иноземцево, L= 0,107 км (АВВГ 4х35)</v>
      </c>
      <c r="C77" s="513" t="str">
        <f>1!C81</f>
        <v>G_Gelezno_ТР28</v>
      </c>
      <c r="D77" s="367" t="s">
        <v>135</v>
      </c>
      <c r="E77" s="367" t="s">
        <v>136</v>
      </c>
      <c r="F77" s="367" t="s">
        <v>587</v>
      </c>
      <c r="G77" s="350" t="s">
        <v>588</v>
      </c>
      <c r="H77" s="367" t="s">
        <v>138</v>
      </c>
      <c r="I77" s="367" t="s">
        <v>138</v>
      </c>
      <c r="J77" s="367" t="s">
        <v>138</v>
      </c>
      <c r="K77" s="367" t="s">
        <v>138</v>
      </c>
      <c r="L77" s="367" t="s">
        <v>138</v>
      </c>
      <c r="M77" s="367" t="s">
        <v>137</v>
      </c>
      <c r="N77" s="367" t="s">
        <v>138</v>
      </c>
      <c r="O77" s="367" t="s">
        <v>138</v>
      </c>
      <c r="P77" s="367" t="s">
        <v>138</v>
      </c>
      <c r="Q77" s="367" t="s">
        <v>139</v>
      </c>
      <c r="R77" s="412" t="s">
        <v>139</v>
      </c>
      <c r="S77" s="163"/>
    </row>
    <row r="78" spans="1:19" s="18" customFormat="1" ht="30">
      <c r="A78" s="514" t="str">
        <f>1!A82</f>
        <v>1.4.2.29</v>
      </c>
      <c r="B78" s="410" t="str">
        <f>1!B82</f>
        <v>Строительство КЛ-0,4 кВ от РУ-0,4 кВ КТП-248 до ВРУ-1 МКЖД ул.Тихая,8, п.Иноземцево, L= 0,102 км (АВВГ 4х35)</v>
      </c>
      <c r="C78" s="513" t="str">
        <f>1!C82</f>
        <v>G_Gelezno_ТР29</v>
      </c>
      <c r="D78" s="367" t="s">
        <v>135</v>
      </c>
      <c r="E78" s="367" t="s">
        <v>136</v>
      </c>
      <c r="F78" s="367" t="s">
        <v>587</v>
      </c>
      <c r="G78" s="350" t="s">
        <v>588</v>
      </c>
      <c r="H78" s="367" t="s">
        <v>138</v>
      </c>
      <c r="I78" s="367" t="s">
        <v>138</v>
      </c>
      <c r="J78" s="367" t="s">
        <v>138</v>
      </c>
      <c r="K78" s="367" t="s">
        <v>138</v>
      </c>
      <c r="L78" s="367" t="s">
        <v>138</v>
      </c>
      <c r="M78" s="367" t="s">
        <v>137</v>
      </c>
      <c r="N78" s="367" t="s">
        <v>138</v>
      </c>
      <c r="O78" s="367" t="s">
        <v>138</v>
      </c>
      <c r="P78" s="367" t="s">
        <v>138</v>
      </c>
      <c r="Q78" s="367" t="s">
        <v>139</v>
      </c>
      <c r="R78" s="412" t="s">
        <v>139</v>
      </c>
      <c r="S78" s="163"/>
    </row>
    <row r="79" spans="1:19" s="18" customFormat="1" ht="30">
      <c r="A79" s="514" t="str">
        <f>1!A83</f>
        <v>1.4.2.30</v>
      </c>
      <c r="B79" s="410" t="str">
        <f>1!B83</f>
        <v>Строительство КЛ-0,4 кВ от РУ-0,4 кВ КТП-105 до РЩ МКЖД ул.Октябрьская,96 Б, г.Железноводск, L= 0,186 км (АВБбШВ 4х95)</v>
      </c>
      <c r="C79" s="513" t="str">
        <f>1!C83</f>
        <v>G_Gelezno_ТР30</v>
      </c>
      <c r="D79" s="367" t="s">
        <v>135</v>
      </c>
      <c r="E79" s="367" t="s">
        <v>136</v>
      </c>
      <c r="F79" s="367" t="s">
        <v>587</v>
      </c>
      <c r="G79" s="350" t="s">
        <v>588</v>
      </c>
      <c r="H79" s="367" t="s">
        <v>138</v>
      </c>
      <c r="I79" s="367" t="s">
        <v>138</v>
      </c>
      <c r="J79" s="367" t="s">
        <v>138</v>
      </c>
      <c r="K79" s="367" t="s">
        <v>138</v>
      </c>
      <c r="L79" s="367" t="s">
        <v>138</v>
      </c>
      <c r="M79" s="367" t="s">
        <v>137</v>
      </c>
      <c r="N79" s="367" t="s">
        <v>138</v>
      </c>
      <c r="O79" s="367" t="s">
        <v>138</v>
      </c>
      <c r="P79" s="367" t="s">
        <v>138</v>
      </c>
      <c r="Q79" s="367" t="s">
        <v>139</v>
      </c>
      <c r="R79" s="412" t="s">
        <v>139</v>
      </c>
      <c r="S79" s="163"/>
    </row>
    <row r="80" spans="1:19" s="18" customFormat="1" ht="30">
      <c r="A80" s="514" t="str">
        <f>1!A84</f>
        <v>1.4.2.31</v>
      </c>
      <c r="B80" s="410" t="str">
        <f>1!B84</f>
        <v>Строительство КЛ-0,4 кВ от ВРУ-12 до ВРУ-2 в ЖК "Вишнёвый сад" (2-ая очередь), п.Иноземцево, L= 0,1 км (АВБбШВ 4х150)</v>
      </c>
      <c r="C80" s="513" t="str">
        <f>1!C84</f>
        <v>G_Gelezno_ТР31</v>
      </c>
      <c r="D80" s="367" t="s">
        <v>135</v>
      </c>
      <c r="E80" s="367" t="s">
        <v>136</v>
      </c>
      <c r="F80" s="367" t="s">
        <v>587</v>
      </c>
      <c r="G80" s="350" t="s">
        <v>588</v>
      </c>
      <c r="H80" s="367" t="s">
        <v>138</v>
      </c>
      <c r="I80" s="367" t="s">
        <v>138</v>
      </c>
      <c r="J80" s="367" t="s">
        <v>138</v>
      </c>
      <c r="K80" s="367" t="s">
        <v>138</v>
      </c>
      <c r="L80" s="367" t="s">
        <v>138</v>
      </c>
      <c r="M80" s="367" t="s">
        <v>137</v>
      </c>
      <c r="N80" s="367" t="s">
        <v>138</v>
      </c>
      <c r="O80" s="367" t="s">
        <v>138</v>
      </c>
      <c r="P80" s="367" t="s">
        <v>138</v>
      </c>
      <c r="Q80" s="367" t="s">
        <v>139</v>
      </c>
      <c r="R80" s="412" t="s">
        <v>139</v>
      </c>
      <c r="S80" s="163"/>
    </row>
    <row r="81" spans="1:19" s="18" customFormat="1" ht="30">
      <c r="A81" s="514" t="str">
        <f>1!A85</f>
        <v>1.4.2.32</v>
      </c>
      <c r="B81" s="410" t="str">
        <f>1!B85</f>
        <v>Строительство КЛ-0,4кВ от ВРУ-16 до ВРУ-10 в ЖК"Вишнёвый сад" (2-ая очередь), п.Иноземцево, L= 0,035 км (АВБбШВ 4х95)</v>
      </c>
      <c r="C81" s="513" t="str">
        <f>1!C85</f>
        <v>G_Gelezno_ТР32</v>
      </c>
      <c r="D81" s="367" t="s">
        <v>135</v>
      </c>
      <c r="E81" s="367" t="s">
        <v>136</v>
      </c>
      <c r="F81" s="367" t="s">
        <v>587</v>
      </c>
      <c r="G81" s="350" t="s">
        <v>588</v>
      </c>
      <c r="H81" s="367" t="s">
        <v>138</v>
      </c>
      <c r="I81" s="367" t="s">
        <v>138</v>
      </c>
      <c r="J81" s="367" t="s">
        <v>138</v>
      </c>
      <c r="K81" s="367" t="s">
        <v>138</v>
      </c>
      <c r="L81" s="367" t="s">
        <v>138</v>
      </c>
      <c r="M81" s="367" t="s">
        <v>137</v>
      </c>
      <c r="N81" s="367" t="s">
        <v>138</v>
      </c>
      <c r="O81" s="367" t="s">
        <v>138</v>
      </c>
      <c r="P81" s="367" t="s">
        <v>138</v>
      </c>
      <c r="Q81" s="367" t="s">
        <v>139</v>
      </c>
      <c r="R81" s="412" t="s">
        <v>139</v>
      </c>
      <c r="S81" s="163"/>
    </row>
    <row r="82" spans="1:19" s="18" customFormat="1" ht="45">
      <c r="A82" s="514" t="str">
        <f>1!A86</f>
        <v>1.4.2.33</v>
      </c>
      <c r="B82" s="410" t="str">
        <f>1!B86</f>
        <v>Строительство КЛ-0,4 кВ от опоры ВЛ-0,4 кВ № 21 до ВРУ-1 в ЖК "Вишнёвый сад" (2-ая очередь), п.Иноземцево, L= 0,05 км (АВБбШВ 4х120)</v>
      </c>
      <c r="C82" s="513" t="str">
        <f>1!C86</f>
        <v>G_Gelezno_ТР33</v>
      </c>
      <c r="D82" s="367" t="s">
        <v>135</v>
      </c>
      <c r="E82" s="367" t="s">
        <v>136</v>
      </c>
      <c r="F82" s="367" t="s">
        <v>587</v>
      </c>
      <c r="G82" s="350" t="s">
        <v>588</v>
      </c>
      <c r="H82" s="367" t="s">
        <v>138</v>
      </c>
      <c r="I82" s="367" t="s">
        <v>138</v>
      </c>
      <c r="J82" s="367" t="s">
        <v>138</v>
      </c>
      <c r="K82" s="367" t="s">
        <v>138</v>
      </c>
      <c r="L82" s="367" t="s">
        <v>138</v>
      </c>
      <c r="M82" s="367" t="s">
        <v>137</v>
      </c>
      <c r="N82" s="367" t="s">
        <v>138</v>
      </c>
      <c r="O82" s="367" t="s">
        <v>138</v>
      </c>
      <c r="P82" s="367" t="s">
        <v>138</v>
      </c>
      <c r="Q82" s="367" t="s">
        <v>139</v>
      </c>
      <c r="R82" s="412" t="s">
        <v>139</v>
      </c>
      <c r="S82" s="163"/>
    </row>
    <row r="83" spans="1:19" s="18" customFormat="1" ht="45">
      <c r="A83" s="514" t="str">
        <f>1!A87</f>
        <v>1.4.2.34</v>
      </c>
      <c r="B83" s="410" t="str">
        <f>1!B87</f>
        <v>Строительство КЛ-0,4 кВ от РУ-0,4 кВ 2КТП-244 до ВРУ-12 в ЖК "Вишнёвый сад" (2-ая очередь), п.Иноземцево, L= 0,17 км (АВБбШВ 4х185) км</v>
      </c>
      <c r="C83" s="513" t="str">
        <f>1!C87</f>
        <v>G_Gelezno_ТР34</v>
      </c>
      <c r="D83" s="367" t="s">
        <v>135</v>
      </c>
      <c r="E83" s="367" t="s">
        <v>136</v>
      </c>
      <c r="F83" s="367" t="s">
        <v>587</v>
      </c>
      <c r="G83" s="350" t="s">
        <v>588</v>
      </c>
      <c r="H83" s="367" t="s">
        <v>138</v>
      </c>
      <c r="I83" s="367" t="s">
        <v>138</v>
      </c>
      <c r="J83" s="367" t="s">
        <v>138</v>
      </c>
      <c r="K83" s="367" t="s">
        <v>138</v>
      </c>
      <c r="L83" s="367" t="s">
        <v>138</v>
      </c>
      <c r="M83" s="367" t="s">
        <v>137</v>
      </c>
      <c r="N83" s="367" t="s">
        <v>138</v>
      </c>
      <c r="O83" s="367" t="s">
        <v>138</v>
      </c>
      <c r="P83" s="367" t="s">
        <v>138</v>
      </c>
      <c r="Q83" s="367" t="s">
        <v>139</v>
      </c>
      <c r="R83" s="412" t="s">
        <v>139</v>
      </c>
      <c r="S83" s="163"/>
    </row>
    <row r="84" spans="1:19" s="18" customFormat="1" ht="45">
      <c r="A84" s="514" t="str">
        <f>1!A88</f>
        <v>1.4.2.35</v>
      </c>
      <c r="B84" s="410" t="str">
        <f>1!B88</f>
        <v>Строительство КЛ-0,4 кВ от РУ-0,4 кВ 2КТП-244 до ВРУ-15 в ЖК "Вишнёвый сад" (2-ая очередь), п.Иноземцево, L= 0,08 км (АВБбШВ 4х95)</v>
      </c>
      <c r="C84" s="513" t="str">
        <f>1!C88</f>
        <v>G_Gelezno_ТР35</v>
      </c>
      <c r="D84" s="367" t="s">
        <v>135</v>
      </c>
      <c r="E84" s="367" t="s">
        <v>136</v>
      </c>
      <c r="F84" s="367" t="s">
        <v>587</v>
      </c>
      <c r="G84" s="350" t="s">
        <v>588</v>
      </c>
      <c r="H84" s="367" t="s">
        <v>138</v>
      </c>
      <c r="I84" s="367" t="s">
        <v>138</v>
      </c>
      <c r="J84" s="367" t="s">
        <v>138</v>
      </c>
      <c r="K84" s="367" t="s">
        <v>138</v>
      </c>
      <c r="L84" s="367" t="s">
        <v>138</v>
      </c>
      <c r="M84" s="367" t="s">
        <v>137</v>
      </c>
      <c r="N84" s="367" t="s">
        <v>138</v>
      </c>
      <c r="O84" s="367" t="s">
        <v>138</v>
      </c>
      <c r="P84" s="367" t="s">
        <v>138</v>
      </c>
      <c r="Q84" s="367" t="s">
        <v>139</v>
      </c>
      <c r="R84" s="412" t="s">
        <v>139</v>
      </c>
      <c r="S84" s="163"/>
    </row>
    <row r="85" spans="1:19" s="18" customFormat="1" ht="45">
      <c r="A85" s="514" t="str">
        <f>1!A89</f>
        <v>1.4.2.36</v>
      </c>
      <c r="B85" s="410" t="str">
        <f>1!B89</f>
        <v>Строительство ВЛ-0,4 кВ от РУ-0,4 кВ КТП-241 ЖК "Вишнёвый сад" (2-ая очередь), п.Иноземцево, СИП-2 3х150+1х95 - 0,204 км СИП-2 3х120+1х95 - 0,275 км и СИП-2 3х95+1х70 - 0,408 км</v>
      </c>
      <c r="C85" s="513" t="str">
        <f>1!C89</f>
        <v>G_Gelezno_ТР36</v>
      </c>
      <c r="D85" s="367" t="s">
        <v>135</v>
      </c>
      <c r="E85" s="367" t="s">
        <v>136</v>
      </c>
      <c r="F85" s="367" t="s">
        <v>587</v>
      </c>
      <c r="G85" s="350" t="s">
        <v>588</v>
      </c>
      <c r="H85" s="367" t="s">
        <v>138</v>
      </c>
      <c r="I85" s="367" t="s">
        <v>138</v>
      </c>
      <c r="J85" s="367" t="s">
        <v>138</v>
      </c>
      <c r="K85" s="367" t="s">
        <v>138</v>
      </c>
      <c r="L85" s="367" t="s">
        <v>138</v>
      </c>
      <c r="M85" s="367" t="s">
        <v>137</v>
      </c>
      <c r="N85" s="367" t="s">
        <v>138</v>
      </c>
      <c r="O85" s="367" t="s">
        <v>138</v>
      </c>
      <c r="P85" s="367" t="s">
        <v>138</v>
      </c>
      <c r="Q85" s="367" t="s">
        <v>139</v>
      </c>
      <c r="R85" s="412" t="s">
        <v>139</v>
      </c>
      <c r="S85" s="163"/>
    </row>
    <row r="86" spans="1:19" s="18" customFormat="1" ht="30">
      <c r="A86" s="515" t="str">
        <f>1!A90</f>
        <v>1.4.2.37</v>
      </c>
      <c r="B86" s="355" t="str">
        <f>1!B90</f>
        <v>Строительство КТП-249 пер.Промышленный,24, п.Иноземцево (ТМГ-630 кВА)(Линия 2), L=0,143 км</v>
      </c>
      <c r="C86" s="513" t="str">
        <f>1!C90</f>
        <v>G_Gelezno_ТР37</v>
      </c>
      <c r="D86" s="45" t="s">
        <v>135</v>
      </c>
      <c r="E86" s="45" t="s">
        <v>136</v>
      </c>
      <c r="F86" s="45" t="s">
        <v>587</v>
      </c>
      <c r="G86" s="95" t="s">
        <v>588</v>
      </c>
      <c r="H86" s="45" t="s">
        <v>138</v>
      </c>
      <c r="I86" s="45" t="s">
        <v>138</v>
      </c>
      <c r="J86" s="45" t="s">
        <v>138</v>
      </c>
      <c r="K86" s="45" t="s">
        <v>138</v>
      </c>
      <c r="L86" s="45" t="s">
        <v>138</v>
      </c>
      <c r="M86" s="45" t="s">
        <v>137</v>
      </c>
      <c r="N86" s="45" t="s">
        <v>138</v>
      </c>
      <c r="O86" s="45" t="s">
        <v>138</v>
      </c>
      <c r="P86" s="45" t="s">
        <v>138</v>
      </c>
      <c r="Q86" s="45" t="s">
        <v>139</v>
      </c>
      <c r="R86" s="279" t="s">
        <v>139</v>
      </c>
      <c r="S86" s="163"/>
    </row>
    <row r="87" spans="1:19" s="18" customFormat="1" ht="10.5" customHeight="1" thickBot="1">
      <c r="A87" s="416"/>
      <c r="B87" s="417"/>
      <c r="C87" s="418"/>
      <c r="D87" s="413"/>
      <c r="E87" s="413"/>
      <c r="F87" s="413"/>
      <c r="G87" s="414"/>
      <c r="H87" s="413"/>
      <c r="I87" s="413"/>
      <c r="J87" s="413"/>
      <c r="K87" s="413"/>
      <c r="L87" s="413"/>
      <c r="M87" s="413"/>
      <c r="N87" s="413"/>
      <c r="O87" s="413"/>
      <c r="P87" s="413"/>
      <c r="Q87" s="413"/>
      <c r="R87" s="415"/>
      <c r="S87" s="163"/>
    </row>
    <row r="88" spans="1:29" ht="15">
      <c r="A88" s="273"/>
      <c r="B88" s="274"/>
      <c r="C88" s="273"/>
      <c r="D88" s="275"/>
      <c r="E88" s="275"/>
      <c r="F88" s="275"/>
      <c r="G88" s="276"/>
      <c r="H88" s="275"/>
      <c r="I88" s="275"/>
      <c r="J88" s="275"/>
      <c r="K88" s="275"/>
      <c r="L88" s="275"/>
      <c r="M88" s="275"/>
      <c r="N88" s="275"/>
      <c r="O88" s="275"/>
      <c r="P88" s="275"/>
      <c r="Q88" s="275"/>
      <c r="R88" s="275"/>
      <c r="T88" s="7"/>
      <c r="U88" s="7"/>
      <c r="V88" s="7"/>
      <c r="W88" s="7"/>
      <c r="X88" s="7"/>
      <c r="Y88" s="7"/>
      <c r="Z88" s="7"/>
      <c r="AA88" s="7"/>
      <c r="AB88" s="7"/>
      <c r="AC88" s="7"/>
    </row>
    <row r="89" spans="1:29" ht="15">
      <c r="A89" s="273"/>
      <c r="B89" s="274"/>
      <c r="C89" s="273"/>
      <c r="D89" s="275"/>
      <c r="E89" s="275"/>
      <c r="F89" s="275"/>
      <c r="G89" s="276"/>
      <c r="H89" s="275"/>
      <c r="I89" s="275"/>
      <c r="J89" s="275"/>
      <c r="K89" s="275"/>
      <c r="L89" s="275"/>
      <c r="M89" s="275"/>
      <c r="N89" s="275"/>
      <c r="O89" s="275"/>
      <c r="P89" s="275"/>
      <c r="Q89" s="275"/>
      <c r="R89" s="275"/>
      <c r="T89" s="7"/>
      <c r="U89" s="7"/>
      <c r="V89" s="7"/>
      <c r="W89" s="7"/>
      <c r="X89" s="7"/>
      <c r="Y89" s="7"/>
      <c r="Z89" s="7"/>
      <c r="AA89" s="7"/>
      <c r="AB89" s="7"/>
      <c r="AC89" s="7"/>
    </row>
    <row r="90" spans="1:29" ht="15">
      <c r="A90" s="273"/>
      <c r="B90" s="274"/>
      <c r="C90" s="273"/>
      <c r="D90" s="275"/>
      <c r="E90" s="275"/>
      <c r="F90" s="275"/>
      <c r="G90" s="276"/>
      <c r="H90" s="275"/>
      <c r="I90" s="275"/>
      <c r="J90" s="275"/>
      <c r="K90" s="275"/>
      <c r="L90" s="275"/>
      <c r="M90" s="275"/>
      <c r="N90" s="275"/>
      <c r="O90" s="275"/>
      <c r="P90" s="275"/>
      <c r="Q90" s="275"/>
      <c r="R90" s="275"/>
      <c r="T90" s="7"/>
      <c r="U90" s="7"/>
      <c r="V90" s="7"/>
      <c r="W90" s="7"/>
      <c r="X90" s="7"/>
      <c r="Y90" s="7"/>
      <c r="Z90" s="7"/>
      <c r="AA90" s="7"/>
      <c r="AB90" s="7"/>
      <c r="AC90" s="7"/>
    </row>
    <row r="91" spans="1:29" ht="15">
      <c r="A91" s="273"/>
      <c r="B91" s="274"/>
      <c r="C91" s="273"/>
      <c r="D91" s="275"/>
      <c r="E91" s="275"/>
      <c r="F91" s="275"/>
      <c r="G91" s="276"/>
      <c r="H91" s="275"/>
      <c r="I91" s="275"/>
      <c r="J91" s="275"/>
      <c r="K91" s="275"/>
      <c r="L91" s="275"/>
      <c r="M91" s="275"/>
      <c r="N91" s="275"/>
      <c r="O91" s="275"/>
      <c r="P91" s="275"/>
      <c r="Q91" s="275"/>
      <c r="R91" s="275"/>
      <c r="T91" s="7"/>
      <c r="U91" s="7"/>
      <c r="V91" s="7"/>
      <c r="W91" s="7"/>
      <c r="X91" s="7"/>
      <c r="Y91" s="7"/>
      <c r="Z91" s="7"/>
      <c r="AA91" s="7"/>
      <c r="AB91" s="7"/>
      <c r="AC91" s="7"/>
    </row>
    <row r="92" spans="1:29" ht="15">
      <c r="A92" s="273"/>
      <c r="B92" s="274"/>
      <c r="C92" s="273"/>
      <c r="D92" s="275"/>
      <c r="E92" s="275"/>
      <c r="F92" s="275"/>
      <c r="G92" s="276"/>
      <c r="H92" s="275"/>
      <c r="I92" s="275"/>
      <c r="J92" s="275"/>
      <c r="K92" s="275"/>
      <c r="L92" s="275"/>
      <c r="M92" s="275"/>
      <c r="N92" s="275"/>
      <c r="O92" s="275"/>
      <c r="P92" s="275"/>
      <c r="Q92" s="275"/>
      <c r="R92" s="275"/>
      <c r="T92" s="7"/>
      <c r="U92" s="7"/>
      <c r="V92" s="7"/>
      <c r="W92" s="7"/>
      <c r="X92" s="7"/>
      <c r="Y92" s="7"/>
      <c r="Z92" s="7"/>
      <c r="AA92" s="7"/>
      <c r="AB92" s="7"/>
      <c r="AC92" s="7"/>
    </row>
    <row r="93" spans="1:22" ht="15.75">
      <c r="A93" s="273"/>
      <c r="B93" s="603" t="s">
        <v>595</v>
      </c>
      <c r="C93" s="603"/>
      <c r="D93" s="603"/>
      <c r="E93" s="603"/>
      <c r="F93" s="603"/>
      <c r="G93" s="603"/>
      <c r="H93" s="603"/>
      <c r="I93" s="603"/>
      <c r="J93" s="603"/>
      <c r="K93" s="603"/>
      <c r="L93" s="603"/>
      <c r="M93" s="603"/>
      <c r="N93" s="603"/>
      <c r="O93" s="603"/>
      <c r="P93" s="603"/>
      <c r="Q93" s="603"/>
      <c r="R93" s="603"/>
      <c r="S93" s="603"/>
      <c r="T93" s="603"/>
      <c r="U93" s="603"/>
      <c r="V93" s="603"/>
    </row>
  </sheetData>
  <sheetProtection/>
  <mergeCells count="6">
    <mergeCell ref="A17:R17"/>
    <mergeCell ref="A16:R16"/>
    <mergeCell ref="A12:R12"/>
    <mergeCell ref="A13:R13"/>
    <mergeCell ref="A14:R14"/>
    <mergeCell ref="B93:V93"/>
  </mergeCells>
  <printOptions/>
  <pageMargins left="0.3937007874015748" right="0.1968503937007874" top="0.5905511811023623" bottom="0.3937007874015748" header="0.11811023622047245" footer="0.11811023622047245"/>
  <pageSetup horizontalDpi="600" verticalDpi="600" orientation="portrait" paperSize="8" scale="70" r:id="rId1"/>
</worksheet>
</file>

<file path=xl/worksheets/sheet11.xml><?xml version="1.0" encoding="utf-8"?>
<worksheet xmlns="http://schemas.openxmlformats.org/spreadsheetml/2006/main" xmlns:r="http://schemas.openxmlformats.org/officeDocument/2006/relationships">
  <sheetPr>
    <tabColor indexed="10"/>
  </sheetPr>
  <dimension ref="A1:AI20"/>
  <sheetViews>
    <sheetView view="pageBreakPreview" zoomScale="90" zoomScaleNormal="50" zoomScaleSheetLayoutView="90" zoomScalePageLayoutView="0" workbookViewId="0" topLeftCell="A13">
      <selection activeCell="E20" sqref="E20"/>
    </sheetView>
  </sheetViews>
  <sheetFormatPr defaultColWidth="16.00390625" defaultRowHeight="15.75"/>
  <cols>
    <col min="1" max="1" width="10.25390625" style="7" customWidth="1"/>
    <col min="2" max="2" width="24.25390625" style="8" customWidth="1"/>
    <col min="3" max="3" width="15.50390625" style="8" customWidth="1"/>
    <col min="4" max="4" width="16.375" style="8" customWidth="1"/>
    <col min="5" max="5" width="29.00390625" style="8" customWidth="1"/>
    <col min="6" max="6" width="25.875" style="8" customWidth="1"/>
    <col min="7" max="7" width="17.875" style="8" customWidth="1"/>
    <col min="8" max="8" width="17.375" style="8" customWidth="1"/>
    <col min="9" max="9" width="14.00390625" style="8" customWidth="1"/>
    <col min="10" max="10" width="12.75390625" style="8" customWidth="1"/>
    <col min="11" max="12" width="17.375" style="8" customWidth="1"/>
    <col min="13" max="13" width="18.50390625" style="8" customWidth="1"/>
    <col min="14" max="14" width="21.50390625" style="8" customWidth="1"/>
    <col min="15" max="15" width="7.75390625" style="8" customWidth="1"/>
    <col min="16" max="16" width="9.00390625" style="8" customWidth="1"/>
    <col min="17" max="17" width="17.75390625" style="8" customWidth="1"/>
    <col min="18" max="18" width="18.375" style="8" customWidth="1"/>
    <col min="19" max="19" width="9.125" style="8" customWidth="1"/>
    <col min="20" max="20" width="9.00390625" style="8" customWidth="1"/>
    <col min="21" max="21" width="22.00390625" style="8" customWidth="1"/>
    <col min="22" max="22" width="11.875" style="8" customWidth="1"/>
    <col min="23" max="23" width="17.375" style="8" customWidth="1"/>
    <col min="24" max="24" width="14.875" style="8" customWidth="1"/>
    <col min="25" max="25" width="10.625" style="7" customWidth="1"/>
    <col min="26" max="26" width="9.25390625" style="7" customWidth="1"/>
    <col min="27" max="27" width="11.125" style="7" customWidth="1"/>
    <col min="28" max="28" width="11.875" style="7" customWidth="1"/>
    <col min="29" max="29" width="15.625" style="7" customWidth="1"/>
    <col min="30" max="31" width="15.875" style="7" customWidth="1"/>
    <col min="32" max="32" width="20.75390625" style="7" customWidth="1"/>
    <col min="33" max="33" width="18.375" style="7" customWidth="1"/>
    <col min="34" max="34" width="29.00390625" style="7" customWidth="1"/>
    <col min="35" max="254" width="9.00390625" style="7" customWidth="1"/>
    <col min="255" max="255" width="3.875" style="7" bestFit="1" customWidth="1"/>
    <col min="256" max="16384" width="16.00390625" style="7" bestFit="1" customWidth="1"/>
  </cols>
  <sheetData>
    <row r="1" spans="16:31" ht="18.75">
      <c r="P1" s="26" t="s">
        <v>147</v>
      </c>
      <c r="AE1" s="26"/>
    </row>
    <row r="2" spans="16:31" ht="18.75">
      <c r="P2" s="16" t="s">
        <v>423</v>
      </c>
      <c r="AE2" s="16"/>
    </row>
    <row r="3" spans="16:31" ht="18.75">
      <c r="P3" s="16" t="s">
        <v>90</v>
      </c>
      <c r="AE3" s="16"/>
    </row>
    <row r="4" spans="1:31" ht="18.75">
      <c r="A4" s="670" t="s">
        <v>416</v>
      </c>
      <c r="B4" s="670"/>
      <c r="C4" s="670"/>
      <c r="D4" s="670"/>
      <c r="E4" s="670"/>
      <c r="F4" s="670"/>
      <c r="G4" s="670"/>
      <c r="H4" s="670"/>
      <c r="I4" s="670"/>
      <c r="J4" s="670"/>
      <c r="K4" s="670"/>
      <c r="L4" s="670"/>
      <c r="M4" s="670"/>
      <c r="N4" s="670"/>
      <c r="O4" s="670"/>
      <c r="P4" s="670"/>
      <c r="AE4" s="16"/>
    </row>
    <row r="5" spans="1:31" ht="18.75">
      <c r="A5" s="94"/>
      <c r="B5" s="94"/>
      <c r="C5" s="94"/>
      <c r="D5" s="94"/>
      <c r="E5" s="94"/>
      <c r="F5" s="94"/>
      <c r="G5" s="94"/>
      <c r="H5" s="94"/>
      <c r="I5" s="94"/>
      <c r="J5" s="94"/>
      <c r="K5" s="94"/>
      <c r="L5" s="94"/>
      <c r="M5" s="94"/>
      <c r="N5" s="94"/>
      <c r="O5" s="94"/>
      <c r="P5" s="94"/>
      <c r="AE5" s="16"/>
    </row>
    <row r="6" spans="1:34" ht="16.5">
      <c r="A6" s="670" t="s">
        <v>311</v>
      </c>
      <c r="B6" s="670"/>
      <c r="C6" s="670"/>
      <c r="D6" s="670"/>
      <c r="E6" s="670"/>
      <c r="F6" s="670"/>
      <c r="G6" s="670"/>
      <c r="H6" s="670"/>
      <c r="I6" s="670"/>
      <c r="J6" s="670"/>
      <c r="K6" s="670"/>
      <c r="L6" s="670"/>
      <c r="M6" s="670"/>
      <c r="N6" s="670"/>
      <c r="O6" s="670"/>
      <c r="P6" s="670"/>
      <c r="Q6" s="88"/>
      <c r="R6" s="88"/>
      <c r="S6" s="88"/>
      <c r="T6" s="88"/>
      <c r="U6" s="88"/>
      <c r="V6" s="88"/>
      <c r="W6" s="88"/>
      <c r="X6" s="88"/>
      <c r="Y6" s="88"/>
      <c r="Z6" s="88"/>
      <c r="AA6" s="88"/>
      <c r="AB6" s="88"/>
      <c r="AC6" s="88"/>
      <c r="AD6" s="88"/>
      <c r="AE6" s="88"/>
      <c r="AF6" s="88"/>
      <c r="AG6" s="88"/>
      <c r="AH6" s="88"/>
    </row>
    <row r="7" spans="1:34" ht="16.5">
      <c r="A7" s="94"/>
      <c r="B7" s="94"/>
      <c r="C7" s="94"/>
      <c r="D7" s="94"/>
      <c r="E7" s="94"/>
      <c r="F7" s="94"/>
      <c r="G7" s="94"/>
      <c r="H7" s="94"/>
      <c r="I7" s="94"/>
      <c r="J7" s="94"/>
      <c r="K7" s="94"/>
      <c r="L7" s="94"/>
      <c r="M7" s="94"/>
      <c r="N7" s="94"/>
      <c r="O7" s="94"/>
      <c r="P7" s="94"/>
      <c r="Q7" s="88"/>
      <c r="R7" s="88"/>
      <c r="S7" s="88"/>
      <c r="T7" s="88"/>
      <c r="U7" s="88"/>
      <c r="V7" s="88"/>
      <c r="W7" s="88"/>
      <c r="X7" s="88"/>
      <c r="Y7" s="88"/>
      <c r="Z7" s="88"/>
      <c r="AA7" s="88"/>
      <c r="AB7" s="88"/>
      <c r="AC7" s="88"/>
      <c r="AD7" s="88"/>
      <c r="AE7" s="88"/>
      <c r="AF7" s="88"/>
      <c r="AG7" s="88"/>
      <c r="AH7" s="88"/>
    </row>
    <row r="8" spans="1:34" ht="15.75">
      <c r="A8" s="663" t="s">
        <v>23</v>
      </c>
      <c r="B8" s="663"/>
      <c r="C8" s="663"/>
      <c r="D8" s="663"/>
      <c r="E8" s="663"/>
      <c r="F8" s="663"/>
      <c r="G8" s="663"/>
      <c r="H8" s="663"/>
      <c r="I8" s="663"/>
      <c r="J8" s="663"/>
      <c r="K8" s="663"/>
      <c r="L8" s="663"/>
      <c r="M8" s="663"/>
      <c r="N8" s="663"/>
      <c r="O8" s="663"/>
      <c r="P8" s="663"/>
      <c r="Q8" s="82"/>
      <c r="R8" s="82"/>
      <c r="S8" s="82"/>
      <c r="T8" s="82"/>
      <c r="U8" s="82"/>
      <c r="V8" s="82"/>
      <c r="W8" s="82"/>
      <c r="X8" s="82"/>
      <c r="Y8" s="82"/>
      <c r="Z8" s="82"/>
      <c r="AA8" s="82"/>
      <c r="AB8" s="82"/>
      <c r="AC8" s="82"/>
      <c r="AD8" s="82"/>
      <c r="AE8" s="82"/>
      <c r="AF8" s="82"/>
      <c r="AG8" s="82"/>
      <c r="AH8" s="82"/>
    </row>
    <row r="9" spans="1:34" ht="15.75">
      <c r="A9" s="542" t="s">
        <v>109</v>
      </c>
      <c r="B9" s="542"/>
      <c r="C9" s="542"/>
      <c r="D9" s="542"/>
      <c r="E9" s="542"/>
      <c r="F9" s="542"/>
      <c r="G9" s="542"/>
      <c r="H9" s="542"/>
      <c r="I9" s="542"/>
      <c r="J9" s="542"/>
      <c r="K9" s="542"/>
      <c r="L9" s="542"/>
      <c r="M9" s="542"/>
      <c r="N9" s="542"/>
      <c r="O9" s="542"/>
      <c r="P9" s="542"/>
      <c r="Q9" s="76"/>
      <c r="R9" s="76"/>
      <c r="S9" s="76"/>
      <c r="T9" s="76"/>
      <c r="U9" s="76"/>
      <c r="V9" s="76"/>
      <c r="W9" s="76"/>
      <c r="X9" s="76"/>
      <c r="Y9" s="76"/>
      <c r="Z9" s="76"/>
      <c r="AA9" s="76"/>
      <c r="AB9" s="76"/>
      <c r="AC9" s="76"/>
      <c r="AD9" s="76"/>
      <c r="AE9" s="76"/>
      <c r="AF9" s="76"/>
      <c r="AG9" s="76"/>
      <c r="AH9" s="76"/>
    </row>
    <row r="10" spans="1:34" ht="15">
      <c r="A10" s="671"/>
      <c r="B10" s="671"/>
      <c r="C10" s="671"/>
      <c r="D10" s="671"/>
      <c r="E10" s="671"/>
      <c r="F10" s="671"/>
      <c r="G10" s="671"/>
      <c r="H10" s="671"/>
      <c r="I10" s="671"/>
      <c r="J10" s="671"/>
      <c r="K10" s="671"/>
      <c r="L10" s="671"/>
      <c r="M10" s="671"/>
      <c r="N10" s="671"/>
      <c r="O10" s="671"/>
      <c r="P10" s="671"/>
      <c r="Q10" s="89"/>
      <c r="R10" s="89"/>
      <c r="S10" s="89"/>
      <c r="T10" s="89"/>
      <c r="U10" s="89"/>
      <c r="V10" s="89"/>
      <c r="W10" s="89"/>
      <c r="X10" s="89"/>
      <c r="Y10" s="89"/>
      <c r="Z10" s="89"/>
      <c r="AA10" s="89"/>
      <c r="AB10" s="89"/>
      <c r="AC10" s="89"/>
      <c r="AD10" s="89"/>
      <c r="AE10" s="89"/>
      <c r="AF10" s="89"/>
      <c r="AG10" s="89"/>
      <c r="AH10" s="89"/>
    </row>
    <row r="11" spans="1:34" ht="18" customHeight="1">
      <c r="A11" s="561" t="s">
        <v>489</v>
      </c>
      <c r="B11" s="561"/>
      <c r="C11" s="561"/>
      <c r="D11" s="561"/>
      <c r="E11" s="561"/>
      <c r="F11" s="561"/>
      <c r="G11" s="561"/>
      <c r="H11" s="561"/>
      <c r="I11" s="561"/>
      <c r="J11" s="561"/>
      <c r="K11" s="561"/>
      <c r="L11" s="561"/>
      <c r="M11" s="561"/>
      <c r="N11" s="561"/>
      <c r="O11" s="561"/>
      <c r="P11" s="561"/>
      <c r="Q11" s="12"/>
      <c r="R11" s="12"/>
      <c r="S11" s="12"/>
      <c r="T11" s="12"/>
      <c r="U11" s="12"/>
      <c r="V11" s="12"/>
      <c r="W11" s="12"/>
      <c r="X11" s="12"/>
      <c r="Y11" s="12"/>
      <c r="Z11" s="12"/>
      <c r="AA11" s="12"/>
      <c r="AB11" s="12"/>
      <c r="AC11" s="12"/>
      <c r="AD11" s="12"/>
      <c r="AE11" s="12"/>
      <c r="AF11" s="12"/>
      <c r="AG11" s="12"/>
      <c r="AH11" s="12"/>
    </row>
    <row r="12" spans="1:34" ht="15">
      <c r="A12" s="669"/>
      <c r="B12" s="669"/>
      <c r="C12" s="669"/>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row>
    <row r="13" spans="1:35" s="10" customFormat="1" ht="75.75" customHeight="1">
      <c r="A13" s="672" t="s">
        <v>24</v>
      </c>
      <c r="B13" s="672" t="s">
        <v>452</v>
      </c>
      <c r="C13" s="672" t="s">
        <v>113</v>
      </c>
      <c r="D13" s="676" t="s">
        <v>506</v>
      </c>
      <c r="E13" s="676"/>
      <c r="F13" s="676"/>
      <c r="G13" s="672" t="s">
        <v>501</v>
      </c>
      <c r="H13" s="677" t="s">
        <v>465</v>
      </c>
      <c r="I13" s="678"/>
      <c r="J13" s="678"/>
      <c r="K13" s="678"/>
      <c r="L13" s="679"/>
      <c r="M13" s="681" t="s">
        <v>251</v>
      </c>
      <c r="N13" s="682"/>
      <c r="O13" s="682"/>
      <c r="P13" s="683"/>
      <c r="Q13" s="681" t="s">
        <v>252</v>
      </c>
      <c r="R13" s="682"/>
      <c r="S13" s="682"/>
      <c r="T13" s="683"/>
      <c r="U13" s="689" t="s">
        <v>401</v>
      </c>
      <c r="V13" s="692" t="s">
        <v>400</v>
      </c>
      <c r="W13" s="693"/>
      <c r="X13" s="684" t="s">
        <v>571</v>
      </c>
      <c r="Y13" s="680" t="s">
        <v>531</v>
      </c>
      <c r="Z13" s="680"/>
      <c r="AA13" s="687" t="s">
        <v>238</v>
      </c>
      <c r="AB13" s="687"/>
      <c r="AC13" s="687"/>
      <c r="AD13" s="687"/>
      <c r="AE13" s="689" t="s">
        <v>507</v>
      </c>
      <c r="AF13" s="687" t="s">
        <v>462</v>
      </c>
      <c r="AG13" s="687"/>
      <c r="AH13" s="675" t="s">
        <v>176</v>
      </c>
      <c r="AI13" s="7"/>
    </row>
    <row r="14" spans="1:35" s="10" customFormat="1" ht="213.75" customHeight="1">
      <c r="A14" s="673"/>
      <c r="B14" s="673"/>
      <c r="C14" s="673"/>
      <c r="D14" s="675" t="s">
        <v>528</v>
      </c>
      <c r="E14" s="675"/>
      <c r="F14" s="675" t="s">
        <v>156</v>
      </c>
      <c r="G14" s="673"/>
      <c r="H14" s="672" t="s">
        <v>500</v>
      </c>
      <c r="I14" s="675" t="s">
        <v>499</v>
      </c>
      <c r="J14" s="675"/>
      <c r="K14" s="672" t="s">
        <v>502</v>
      </c>
      <c r="L14" s="672" t="s">
        <v>239</v>
      </c>
      <c r="M14" s="684" t="s">
        <v>524</v>
      </c>
      <c r="N14" s="684" t="s">
        <v>522</v>
      </c>
      <c r="O14" s="680" t="s">
        <v>165</v>
      </c>
      <c r="P14" s="680"/>
      <c r="Q14" s="684" t="s">
        <v>523</v>
      </c>
      <c r="R14" s="684" t="s">
        <v>505</v>
      </c>
      <c r="S14" s="680" t="s">
        <v>116</v>
      </c>
      <c r="T14" s="680"/>
      <c r="U14" s="690"/>
      <c r="V14" s="694"/>
      <c r="W14" s="695"/>
      <c r="X14" s="686"/>
      <c r="Y14" s="680"/>
      <c r="Z14" s="680"/>
      <c r="AA14" s="688" t="s">
        <v>530</v>
      </c>
      <c r="AB14" s="688"/>
      <c r="AC14" s="676" t="s">
        <v>118</v>
      </c>
      <c r="AD14" s="676"/>
      <c r="AE14" s="690"/>
      <c r="AF14" s="687" t="s">
        <v>119</v>
      </c>
      <c r="AG14" s="687" t="s">
        <v>404</v>
      </c>
      <c r="AH14" s="675"/>
      <c r="AI14" s="7"/>
    </row>
    <row r="15" spans="1:35" s="10" customFormat="1" ht="43.5" customHeight="1">
      <c r="A15" s="674"/>
      <c r="B15" s="674"/>
      <c r="C15" s="674"/>
      <c r="D15" s="95" t="s">
        <v>526</v>
      </c>
      <c r="E15" s="95" t="s">
        <v>527</v>
      </c>
      <c r="F15" s="675"/>
      <c r="G15" s="674"/>
      <c r="H15" s="674"/>
      <c r="I15" s="84" t="s">
        <v>503</v>
      </c>
      <c r="J15" s="84" t="s">
        <v>504</v>
      </c>
      <c r="K15" s="674"/>
      <c r="L15" s="674"/>
      <c r="M15" s="685"/>
      <c r="N15" s="685"/>
      <c r="O15" s="39" t="s">
        <v>455</v>
      </c>
      <c r="P15" s="39" t="s">
        <v>456</v>
      </c>
      <c r="Q15" s="685"/>
      <c r="R15" s="685"/>
      <c r="S15" s="39" t="s">
        <v>455</v>
      </c>
      <c r="T15" s="39" t="s">
        <v>456</v>
      </c>
      <c r="U15" s="691"/>
      <c r="V15" s="96" t="s">
        <v>417</v>
      </c>
      <c r="W15" s="96" t="s">
        <v>121</v>
      </c>
      <c r="X15" s="685"/>
      <c r="Y15" s="39" t="s">
        <v>455</v>
      </c>
      <c r="Z15" s="39" t="s">
        <v>456</v>
      </c>
      <c r="AA15" s="68" t="s">
        <v>457</v>
      </c>
      <c r="AB15" s="68" t="s">
        <v>458</v>
      </c>
      <c r="AC15" s="68" t="s">
        <v>457</v>
      </c>
      <c r="AD15" s="68" t="s">
        <v>458</v>
      </c>
      <c r="AE15" s="691"/>
      <c r="AF15" s="687"/>
      <c r="AG15" s="687"/>
      <c r="AH15" s="675"/>
      <c r="AI15" s="7"/>
    </row>
    <row r="16" spans="1:35" s="10" customFormat="1" ht="15" customHeight="1">
      <c r="A16" s="45">
        <v>1</v>
      </c>
      <c r="B16" s="45">
        <v>2</v>
      </c>
      <c r="C16" s="45">
        <v>3</v>
      </c>
      <c r="D16" s="45">
        <v>4</v>
      </c>
      <c r="E16" s="45">
        <v>5</v>
      </c>
      <c r="F16" s="45">
        <v>6</v>
      </c>
      <c r="G16" s="45">
        <v>7</v>
      </c>
      <c r="H16" s="45">
        <v>8</v>
      </c>
      <c r="I16" s="45">
        <v>9</v>
      </c>
      <c r="J16" s="45">
        <v>10</v>
      </c>
      <c r="K16" s="45">
        <v>11</v>
      </c>
      <c r="L16" s="45">
        <v>12</v>
      </c>
      <c r="M16" s="45">
        <v>13</v>
      </c>
      <c r="N16" s="45">
        <v>14</v>
      </c>
      <c r="O16" s="45">
        <v>15</v>
      </c>
      <c r="P16" s="45">
        <v>16</v>
      </c>
      <c r="Q16" s="45">
        <v>17</v>
      </c>
      <c r="R16" s="45">
        <v>18</v>
      </c>
      <c r="S16" s="45">
        <v>19</v>
      </c>
      <c r="T16" s="45">
        <v>20</v>
      </c>
      <c r="U16" s="45">
        <v>21</v>
      </c>
      <c r="V16" s="45">
        <v>22</v>
      </c>
      <c r="W16" s="45">
        <v>23</v>
      </c>
      <c r="X16" s="45">
        <v>24</v>
      </c>
      <c r="Y16" s="45">
        <v>25</v>
      </c>
      <c r="Z16" s="45">
        <v>26</v>
      </c>
      <c r="AA16" s="45">
        <v>27</v>
      </c>
      <c r="AB16" s="45">
        <v>28</v>
      </c>
      <c r="AC16" s="45">
        <v>29</v>
      </c>
      <c r="AD16" s="45">
        <v>30</v>
      </c>
      <c r="AE16" s="45">
        <v>31</v>
      </c>
      <c r="AF16" s="45">
        <v>32</v>
      </c>
      <c r="AG16" s="45">
        <v>33</v>
      </c>
      <c r="AH16" s="45">
        <v>34</v>
      </c>
      <c r="AI16" s="7"/>
    </row>
    <row r="17" spans="1:34" ht="15.75">
      <c r="A17" s="46"/>
      <c r="B17" s="7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0"/>
      <c r="AG17" s="60"/>
      <c r="AH17" s="60"/>
    </row>
    <row r="18" spans="1:2" ht="15.75">
      <c r="A18" s="106"/>
      <c r="B18" s="65"/>
    </row>
    <row r="20" ht="15">
      <c r="R20" s="11"/>
    </row>
  </sheetData>
  <sheetProtection/>
  <mergeCells count="39">
    <mergeCell ref="M13:P13"/>
    <mergeCell ref="M14:M15"/>
    <mergeCell ref="V13:W14"/>
    <mergeCell ref="N14:N15"/>
    <mergeCell ref="R14:R15"/>
    <mergeCell ref="O14:P14"/>
    <mergeCell ref="AE13:AE15"/>
    <mergeCell ref="AF14:AF15"/>
    <mergeCell ref="AC14:AD14"/>
    <mergeCell ref="AA13:AD13"/>
    <mergeCell ref="Y13:Z14"/>
    <mergeCell ref="U13:U15"/>
    <mergeCell ref="B13:B15"/>
    <mergeCell ref="C13:C15"/>
    <mergeCell ref="AH13:AH15"/>
    <mergeCell ref="S14:T14"/>
    <mergeCell ref="Q13:T13"/>
    <mergeCell ref="Q14:Q15"/>
    <mergeCell ref="X13:X15"/>
    <mergeCell ref="AF13:AG13"/>
    <mergeCell ref="AG14:AG15"/>
    <mergeCell ref="AA14:AB14"/>
    <mergeCell ref="A13:A15"/>
    <mergeCell ref="H14:H15"/>
    <mergeCell ref="D14:E14"/>
    <mergeCell ref="D13:F13"/>
    <mergeCell ref="H13:L13"/>
    <mergeCell ref="I14:J14"/>
    <mergeCell ref="L14:L15"/>
    <mergeCell ref="F14:F15"/>
    <mergeCell ref="K14:K15"/>
    <mergeCell ref="G13:G15"/>
    <mergeCell ref="A12:AH12"/>
    <mergeCell ref="A4:P4"/>
    <mergeCell ref="A6:P6"/>
    <mergeCell ref="A11:P11"/>
    <mergeCell ref="A8:P8"/>
    <mergeCell ref="A9:P9"/>
    <mergeCell ref="A10:P10"/>
  </mergeCells>
  <printOptions/>
  <pageMargins left="0.7086614173228347" right="0.7086614173228347" top="0.7480314960629921" bottom="0.7480314960629921" header="0.31496062992125984" footer="0.31496062992125984"/>
  <pageSetup fitToWidth="2" horizontalDpi="600" verticalDpi="600" orientation="landscape" paperSize="8" scale="65" r:id="rId1"/>
  <headerFooter differentFirst="1">
    <oddHeader>&amp;C&amp;P</oddHeader>
  </headerFooter>
  <colBreaks count="1" manualBreakCount="1">
    <brk id="16" max="14" man="1"/>
  </colBreaks>
</worksheet>
</file>

<file path=xl/worksheets/sheet12.xml><?xml version="1.0" encoding="utf-8"?>
<worksheet xmlns="http://schemas.openxmlformats.org/spreadsheetml/2006/main" xmlns:r="http://schemas.openxmlformats.org/officeDocument/2006/relationships">
  <sheetPr>
    <tabColor indexed="10"/>
  </sheetPr>
  <dimension ref="A1:AZ162"/>
  <sheetViews>
    <sheetView view="pageBreakPreview" zoomScale="60" zoomScaleNormal="50" zoomScalePageLayoutView="0" workbookViewId="0" topLeftCell="A139">
      <selection activeCell="E20" sqref="E20"/>
    </sheetView>
  </sheetViews>
  <sheetFormatPr defaultColWidth="16.625" defaultRowHeight="15.75"/>
  <cols>
    <col min="1" max="1" width="11.375" style="114" customWidth="1"/>
    <col min="2" max="2" width="39.375" style="11" customWidth="1"/>
    <col min="3" max="3" width="11.875" style="11" customWidth="1"/>
    <col min="4" max="4" width="10.125" style="11" customWidth="1"/>
    <col min="5" max="5" width="10.50390625" style="11" customWidth="1"/>
    <col min="6" max="6" width="10.625" style="11" customWidth="1"/>
    <col min="7" max="7" width="17.875" style="11" customWidth="1"/>
    <col min="8" max="8" width="15.375" style="11" customWidth="1"/>
    <col min="9" max="9" width="18.625" style="11" customWidth="1"/>
    <col min="10" max="10" width="14.50390625" style="11" customWidth="1"/>
    <col min="11" max="11" width="17.375" style="11" customWidth="1"/>
    <col min="12" max="12" width="15.125" style="11" customWidth="1"/>
    <col min="13" max="13" width="18.50390625" style="11" customWidth="1"/>
    <col min="14" max="14" width="17.00390625" style="11" customWidth="1"/>
    <col min="15" max="15" width="17.625" style="11" customWidth="1"/>
    <col min="16" max="16" width="9.00390625" style="11" customWidth="1"/>
    <col min="17" max="17" width="17.75390625" style="8" customWidth="1"/>
    <col min="18" max="18" width="18.375" style="8" customWidth="1"/>
    <col min="19" max="19" width="9.125" style="8" customWidth="1"/>
    <col min="20" max="20" width="9.00390625" style="8" customWidth="1"/>
    <col min="21" max="21" width="22.00390625" style="8" customWidth="1"/>
    <col min="22" max="22" width="22.625" style="8" customWidth="1"/>
    <col min="23" max="23" width="14.875" style="8" customWidth="1"/>
    <col min="24" max="24" width="10.625" style="7" customWidth="1"/>
    <col min="25" max="25" width="9.25390625" style="7" customWidth="1"/>
    <col min="26" max="26" width="11.125" style="7" customWidth="1"/>
    <col min="27" max="27" width="11.875" style="7" customWidth="1"/>
    <col min="28" max="28" width="15.625" style="7" customWidth="1"/>
    <col min="29" max="30" width="15.875" style="7" customWidth="1"/>
    <col min="31" max="31" width="20.75390625" style="7" customWidth="1"/>
    <col min="32" max="32" width="18.375" style="7" customWidth="1"/>
    <col min="33" max="33" width="29.00390625" style="7" customWidth="1"/>
    <col min="34" max="253" width="9.00390625" style="7" customWidth="1"/>
    <col min="254" max="254" width="3.875" style="7" bestFit="1" customWidth="1"/>
    <col min="255" max="255" width="16.00390625" style="7" bestFit="1" customWidth="1"/>
    <col min="256" max="16384" width="16.625" style="7" bestFit="1" customWidth="1"/>
  </cols>
  <sheetData>
    <row r="1" spans="16:30" ht="18.75">
      <c r="P1" s="115"/>
      <c r="AD1" s="26"/>
    </row>
    <row r="2" spans="16:30" ht="18.75">
      <c r="P2" s="116"/>
      <c r="AD2" s="16"/>
    </row>
    <row r="3" spans="16:30" ht="18.75">
      <c r="P3" s="116"/>
      <c r="AD3" s="16"/>
    </row>
    <row r="4" spans="1:30" ht="18.75">
      <c r="A4" s="670"/>
      <c r="B4" s="670"/>
      <c r="C4" s="670"/>
      <c r="D4" s="670"/>
      <c r="E4" s="670"/>
      <c r="F4" s="670"/>
      <c r="G4" s="670"/>
      <c r="H4" s="670"/>
      <c r="I4" s="670"/>
      <c r="J4" s="670"/>
      <c r="K4" s="670"/>
      <c r="L4" s="670"/>
      <c r="M4" s="670"/>
      <c r="N4" s="670"/>
      <c r="O4" s="670"/>
      <c r="P4" s="670"/>
      <c r="AD4" s="16"/>
    </row>
    <row r="5" spans="1:33" ht="16.5">
      <c r="A5" s="670" t="s">
        <v>312</v>
      </c>
      <c r="B5" s="670"/>
      <c r="C5" s="670"/>
      <c r="D5" s="670"/>
      <c r="E5" s="670"/>
      <c r="F5" s="670"/>
      <c r="G5" s="670"/>
      <c r="H5" s="670"/>
      <c r="I5" s="670"/>
      <c r="J5" s="670"/>
      <c r="K5" s="670"/>
      <c r="L5" s="670"/>
      <c r="M5" s="670"/>
      <c r="N5" s="670"/>
      <c r="O5" s="670"/>
      <c r="P5" s="670"/>
      <c r="Q5" s="88"/>
      <c r="R5" s="88"/>
      <c r="S5" s="88"/>
      <c r="T5" s="88"/>
      <c r="U5" s="88"/>
      <c r="V5" s="88"/>
      <c r="W5" s="88"/>
      <c r="X5" s="88"/>
      <c r="Y5" s="88"/>
      <c r="Z5" s="88"/>
      <c r="AA5" s="88"/>
      <c r="AB5" s="88"/>
      <c r="AC5" s="88"/>
      <c r="AD5" s="88"/>
      <c r="AE5" s="88"/>
      <c r="AF5" s="88"/>
      <c r="AG5" s="88"/>
    </row>
    <row r="6" spans="1:33" ht="16.5">
      <c r="A6" s="94"/>
      <c r="B6" s="94"/>
      <c r="C6" s="94"/>
      <c r="D6" s="94"/>
      <c r="E6" s="94"/>
      <c r="F6" s="94"/>
      <c r="G6" s="94"/>
      <c r="H6" s="94"/>
      <c r="I6" s="94"/>
      <c r="J6" s="94"/>
      <c r="K6" s="94"/>
      <c r="L6" s="94"/>
      <c r="M6" s="94"/>
      <c r="N6" s="94"/>
      <c r="O6" s="94"/>
      <c r="P6" s="94"/>
      <c r="Q6" s="88"/>
      <c r="R6" s="88"/>
      <c r="S6" s="88"/>
      <c r="T6" s="88"/>
      <c r="U6" s="88"/>
      <c r="V6" s="88"/>
      <c r="W6" s="88"/>
      <c r="X6" s="88"/>
      <c r="Y6" s="88"/>
      <c r="Z6" s="88"/>
      <c r="AA6" s="88"/>
      <c r="AB6" s="88"/>
      <c r="AC6" s="88"/>
      <c r="AD6" s="88"/>
      <c r="AE6" s="88"/>
      <c r="AF6" s="88"/>
      <c r="AG6" s="88"/>
    </row>
    <row r="7" spans="1:33" ht="15.75">
      <c r="A7" s="702" t="s">
        <v>23</v>
      </c>
      <c r="B7" s="702"/>
      <c r="C7" s="702"/>
      <c r="D7" s="702"/>
      <c r="E7" s="702"/>
      <c r="F7" s="702"/>
      <c r="G7" s="702"/>
      <c r="H7" s="702"/>
      <c r="I7" s="702"/>
      <c r="J7" s="702"/>
      <c r="K7" s="702"/>
      <c r="L7" s="702"/>
      <c r="M7" s="702"/>
      <c r="N7" s="702"/>
      <c r="O7" s="702"/>
      <c r="P7" s="702"/>
      <c r="Q7" s="82"/>
      <c r="R7" s="82"/>
      <c r="S7" s="82"/>
      <c r="T7" s="82"/>
      <c r="U7" s="82"/>
      <c r="V7" s="82"/>
      <c r="W7" s="82"/>
      <c r="X7" s="82"/>
      <c r="Y7" s="82"/>
      <c r="Z7" s="82"/>
      <c r="AA7" s="82"/>
      <c r="AB7" s="82"/>
      <c r="AC7" s="82"/>
      <c r="AD7" s="82"/>
      <c r="AE7" s="82"/>
      <c r="AF7" s="82"/>
      <c r="AG7" s="82"/>
    </row>
    <row r="8" spans="1:33" ht="15.75">
      <c r="A8" s="703" t="s">
        <v>109</v>
      </c>
      <c r="B8" s="703"/>
      <c r="C8" s="703"/>
      <c r="D8" s="703"/>
      <c r="E8" s="703"/>
      <c r="F8" s="703"/>
      <c r="G8" s="703"/>
      <c r="H8" s="703"/>
      <c r="I8" s="703"/>
      <c r="J8" s="703"/>
      <c r="K8" s="703"/>
      <c r="L8" s="703"/>
      <c r="M8" s="703"/>
      <c r="N8" s="703"/>
      <c r="O8" s="703"/>
      <c r="P8" s="703"/>
      <c r="Q8" s="76"/>
      <c r="R8" s="76"/>
      <c r="S8" s="76"/>
      <c r="T8" s="76"/>
      <c r="U8" s="76"/>
      <c r="V8" s="76"/>
      <c r="W8" s="76"/>
      <c r="X8" s="76"/>
      <c r="Y8" s="76"/>
      <c r="Z8" s="76"/>
      <c r="AA8" s="76"/>
      <c r="AB8" s="76"/>
      <c r="AC8" s="76"/>
      <c r="AD8" s="76"/>
      <c r="AE8" s="76"/>
      <c r="AF8" s="76"/>
      <c r="AG8" s="76"/>
    </row>
    <row r="9" spans="1:33" ht="15">
      <c r="A9" s="704"/>
      <c r="B9" s="704"/>
      <c r="C9" s="704"/>
      <c r="D9" s="704"/>
      <c r="E9" s="704"/>
      <c r="F9" s="704"/>
      <c r="G9" s="704"/>
      <c r="H9" s="704"/>
      <c r="I9" s="704"/>
      <c r="J9" s="704"/>
      <c r="K9" s="704"/>
      <c r="L9" s="704"/>
      <c r="M9" s="704"/>
      <c r="N9" s="704"/>
      <c r="O9" s="704"/>
      <c r="P9" s="704"/>
      <c r="Q9" s="89"/>
      <c r="R9" s="89"/>
      <c r="S9" s="89"/>
      <c r="T9" s="89"/>
      <c r="U9" s="89"/>
      <c r="V9" s="89"/>
      <c r="W9" s="89"/>
      <c r="X9" s="89"/>
      <c r="Y9" s="89"/>
      <c r="Z9" s="89"/>
      <c r="AA9" s="89"/>
      <c r="AB9" s="89"/>
      <c r="AC9" s="89"/>
      <c r="AD9" s="89"/>
      <c r="AE9" s="89"/>
      <c r="AF9" s="89"/>
      <c r="AG9" s="89"/>
    </row>
    <row r="10" spans="1:33" ht="18" customHeight="1">
      <c r="A10" s="561" t="s">
        <v>489</v>
      </c>
      <c r="B10" s="561"/>
      <c r="C10" s="561"/>
      <c r="D10" s="561"/>
      <c r="E10" s="561"/>
      <c r="F10" s="561"/>
      <c r="G10" s="561"/>
      <c r="H10" s="561"/>
      <c r="I10" s="561"/>
      <c r="J10" s="561"/>
      <c r="K10" s="561"/>
      <c r="L10" s="561"/>
      <c r="M10" s="561"/>
      <c r="N10" s="561"/>
      <c r="O10" s="561"/>
      <c r="P10" s="561"/>
      <c r="Q10" s="12"/>
      <c r="R10" s="12"/>
      <c r="S10" s="12"/>
      <c r="T10" s="12"/>
      <c r="U10" s="12"/>
      <c r="V10" s="12"/>
      <c r="W10" s="12"/>
      <c r="X10" s="12"/>
      <c r="Y10" s="12"/>
      <c r="Z10" s="12"/>
      <c r="AA10" s="12"/>
      <c r="AB10" s="12"/>
      <c r="AC10" s="12"/>
      <c r="AD10" s="12"/>
      <c r="AE10" s="12"/>
      <c r="AF10" s="12"/>
      <c r="AG10" s="12"/>
    </row>
    <row r="11" spans="1:33" ht="18" customHeight="1">
      <c r="A11" s="110"/>
      <c r="B11" s="110"/>
      <c r="C11" s="110"/>
      <c r="D11" s="110"/>
      <c r="E11" s="110"/>
      <c r="F11" s="110"/>
      <c r="G11" s="110"/>
      <c r="H11" s="110"/>
      <c r="I11" s="110"/>
      <c r="J11" s="110"/>
      <c r="K11" s="110"/>
      <c r="L11" s="110"/>
      <c r="M11" s="110"/>
      <c r="N11" s="110"/>
      <c r="O11" s="110"/>
      <c r="P11" s="110"/>
      <c r="Q11" s="12"/>
      <c r="R11" s="12"/>
      <c r="S11" s="12"/>
      <c r="T11" s="12"/>
      <c r="U11" s="12"/>
      <c r="V11" s="12"/>
      <c r="W11" s="12"/>
      <c r="X11" s="12"/>
      <c r="Y11" s="12"/>
      <c r="Z11" s="12"/>
      <c r="AA11" s="12"/>
      <c r="AB11" s="12"/>
      <c r="AC11" s="12"/>
      <c r="AD11" s="12"/>
      <c r="AE11" s="12"/>
      <c r="AF11" s="12"/>
      <c r="AG11" s="12"/>
    </row>
    <row r="12" spans="1:52" ht="18.75">
      <c r="A12" s="561" t="s">
        <v>18</v>
      </c>
      <c r="B12" s="561"/>
      <c r="C12" s="561"/>
      <c r="D12" s="561"/>
      <c r="E12" s="561"/>
      <c r="F12" s="561"/>
      <c r="G12" s="561"/>
      <c r="H12" s="561"/>
      <c r="I12" s="561"/>
      <c r="J12" s="561"/>
      <c r="K12" s="561"/>
      <c r="L12" s="561"/>
      <c r="M12" s="561"/>
      <c r="N12" s="561"/>
      <c r="O12" s="561"/>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row>
    <row r="13" spans="1:52" ht="16.5" customHeight="1">
      <c r="A13" s="698" t="s">
        <v>398</v>
      </c>
      <c r="B13" s="698"/>
      <c r="C13" s="698"/>
      <c r="D13" s="698"/>
      <c r="E13" s="698"/>
      <c r="F13" s="698"/>
      <c r="G13" s="698"/>
      <c r="H13" s="698"/>
      <c r="I13" s="698"/>
      <c r="J13" s="698"/>
      <c r="K13" s="698"/>
      <c r="L13" s="698"/>
      <c r="M13" s="698"/>
      <c r="N13" s="698"/>
      <c r="O13" s="698"/>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33" ht="15">
      <c r="A14" s="669"/>
      <c r="B14" s="669"/>
      <c r="C14" s="669"/>
      <c r="D14" s="669"/>
      <c r="E14" s="669"/>
      <c r="F14" s="669"/>
      <c r="G14" s="669"/>
      <c r="H14" s="669"/>
      <c r="I14" s="669"/>
      <c r="J14" s="669"/>
      <c r="K14" s="669"/>
      <c r="L14" s="669"/>
      <c r="M14" s="669"/>
      <c r="N14" s="669"/>
      <c r="O14" s="669"/>
      <c r="P14" s="669"/>
      <c r="Q14" s="669"/>
      <c r="R14" s="669"/>
      <c r="S14" s="669"/>
      <c r="T14" s="669"/>
      <c r="U14" s="669"/>
      <c r="V14" s="669"/>
      <c r="W14" s="669"/>
      <c r="X14" s="669"/>
      <c r="Y14" s="669"/>
      <c r="Z14" s="669"/>
      <c r="AA14" s="669"/>
      <c r="AB14" s="669"/>
      <c r="AC14" s="669"/>
      <c r="AD14" s="669"/>
      <c r="AE14" s="669"/>
      <c r="AF14" s="669"/>
      <c r="AG14" s="669"/>
    </row>
    <row r="15" spans="1:18" ht="59.25" customHeight="1">
      <c r="A15" s="707" t="s">
        <v>242</v>
      </c>
      <c r="B15" s="705" t="s">
        <v>279</v>
      </c>
      <c r="C15" s="705" t="s">
        <v>280</v>
      </c>
      <c r="D15" s="701" t="s">
        <v>273</v>
      </c>
      <c r="E15" s="701"/>
      <c r="F15" s="701"/>
      <c r="G15" s="705" t="s">
        <v>369</v>
      </c>
      <c r="H15" s="699" t="s">
        <v>370</v>
      </c>
      <c r="I15" s="700"/>
      <c r="J15" s="699" t="s">
        <v>441</v>
      </c>
      <c r="K15" s="700"/>
      <c r="L15" s="699" t="s">
        <v>27</v>
      </c>
      <c r="M15" s="700"/>
      <c r="N15" s="699" t="s">
        <v>26</v>
      </c>
      <c r="O15" s="700"/>
      <c r="R15" s="11"/>
    </row>
    <row r="16" spans="1:15" ht="78.75">
      <c r="A16" s="708"/>
      <c r="B16" s="706"/>
      <c r="C16" s="706"/>
      <c r="D16" s="107" t="s">
        <v>274</v>
      </c>
      <c r="E16" s="107" t="s">
        <v>275</v>
      </c>
      <c r="F16" s="107" t="s">
        <v>276</v>
      </c>
      <c r="G16" s="706"/>
      <c r="H16" s="109" t="s">
        <v>28</v>
      </c>
      <c r="I16" s="109" t="s">
        <v>211</v>
      </c>
      <c r="J16" s="109" t="s">
        <v>28</v>
      </c>
      <c r="K16" s="109" t="s">
        <v>211</v>
      </c>
      <c r="L16" s="109" t="s">
        <v>28</v>
      </c>
      <c r="M16" s="109" t="s">
        <v>210</v>
      </c>
      <c r="N16" s="109" t="s">
        <v>28</v>
      </c>
      <c r="O16" s="109" t="s">
        <v>210</v>
      </c>
    </row>
    <row r="17" spans="1:15" ht="15.75">
      <c r="A17" s="112">
        <v>1</v>
      </c>
      <c r="B17" s="109">
        <v>2</v>
      </c>
      <c r="C17" s="109">
        <v>3</v>
      </c>
      <c r="D17" s="109">
        <v>4</v>
      </c>
      <c r="E17" s="109">
        <v>5</v>
      </c>
      <c r="F17" s="109">
        <v>6</v>
      </c>
      <c r="G17" s="109">
        <v>7</v>
      </c>
      <c r="H17" s="109">
        <v>8</v>
      </c>
      <c r="I17" s="109">
        <v>9</v>
      </c>
      <c r="J17" s="109">
        <v>10</v>
      </c>
      <c r="K17" s="109">
        <v>11</v>
      </c>
      <c r="L17" s="109">
        <v>12</v>
      </c>
      <c r="M17" s="109">
        <v>13</v>
      </c>
      <c r="N17" s="109">
        <v>14</v>
      </c>
      <c r="O17" s="109">
        <v>15</v>
      </c>
    </row>
    <row r="18" spans="1:15" ht="38.25" customHeight="1">
      <c r="A18" s="112" t="s">
        <v>284</v>
      </c>
      <c r="B18" s="109" t="s">
        <v>314</v>
      </c>
      <c r="C18" s="109" t="s">
        <v>372</v>
      </c>
      <c r="D18" s="109" t="s">
        <v>368</v>
      </c>
      <c r="E18" s="109" t="s">
        <v>368</v>
      </c>
      <c r="F18" s="109" t="s">
        <v>368</v>
      </c>
      <c r="G18" s="109" t="s">
        <v>368</v>
      </c>
      <c r="H18" s="109" t="s">
        <v>368</v>
      </c>
      <c r="I18" s="109" t="s">
        <v>368</v>
      </c>
      <c r="J18" s="109" t="s">
        <v>368</v>
      </c>
      <c r="K18" s="109" t="s">
        <v>368</v>
      </c>
      <c r="L18" s="109" t="s">
        <v>368</v>
      </c>
      <c r="M18" s="109" t="s">
        <v>368</v>
      </c>
      <c r="N18" s="109" t="s">
        <v>368</v>
      </c>
      <c r="O18" s="109" t="s">
        <v>368</v>
      </c>
    </row>
    <row r="19" spans="1:15" ht="84" customHeight="1">
      <c r="A19" s="112" t="s">
        <v>285</v>
      </c>
      <c r="B19" s="117" t="s">
        <v>382</v>
      </c>
      <c r="C19" s="109" t="s">
        <v>368</v>
      </c>
      <c r="D19" s="109" t="s">
        <v>368</v>
      </c>
      <c r="E19" s="109" t="s">
        <v>368</v>
      </c>
      <c r="F19" s="109" t="s">
        <v>368</v>
      </c>
      <c r="G19" s="109" t="s">
        <v>368</v>
      </c>
      <c r="H19" s="109" t="s">
        <v>368</v>
      </c>
      <c r="I19" s="109" t="s">
        <v>368</v>
      </c>
      <c r="J19" s="109" t="s">
        <v>368</v>
      </c>
      <c r="K19" s="109" t="s">
        <v>368</v>
      </c>
      <c r="L19" s="109" t="s">
        <v>368</v>
      </c>
      <c r="M19" s="109" t="s">
        <v>368</v>
      </c>
      <c r="N19" s="109" t="s">
        <v>368</v>
      </c>
      <c r="O19" s="109" t="s">
        <v>368</v>
      </c>
    </row>
    <row r="20" spans="1:15" ht="48" customHeight="1">
      <c r="A20" s="696" t="s">
        <v>287</v>
      </c>
      <c r="B20" s="697" t="s">
        <v>383</v>
      </c>
      <c r="C20" s="109" t="s">
        <v>283</v>
      </c>
      <c r="D20" s="109"/>
      <c r="E20" s="109"/>
      <c r="F20" s="109"/>
      <c r="G20" s="109"/>
      <c r="H20" s="109"/>
      <c r="I20" s="109"/>
      <c r="J20" s="109"/>
      <c r="K20" s="109"/>
      <c r="L20" s="109"/>
      <c r="M20" s="109"/>
      <c r="N20" s="109"/>
      <c r="O20" s="109"/>
    </row>
    <row r="21" spans="1:15" ht="40.5" customHeight="1">
      <c r="A21" s="696"/>
      <c r="B21" s="697"/>
      <c r="C21" s="109" t="s">
        <v>282</v>
      </c>
      <c r="D21" s="109"/>
      <c r="E21" s="109"/>
      <c r="F21" s="109"/>
      <c r="G21" s="109"/>
      <c r="H21" s="109"/>
      <c r="I21" s="109"/>
      <c r="J21" s="109"/>
      <c r="K21" s="109"/>
      <c r="L21" s="109"/>
      <c r="M21" s="109"/>
      <c r="N21" s="109"/>
      <c r="O21" s="109"/>
    </row>
    <row r="22" spans="1:15" ht="28.5" customHeight="1">
      <c r="A22" s="696" t="s">
        <v>315</v>
      </c>
      <c r="B22" s="697" t="s">
        <v>281</v>
      </c>
      <c r="C22" s="109" t="s">
        <v>283</v>
      </c>
      <c r="D22" s="109"/>
      <c r="E22" s="109"/>
      <c r="F22" s="109"/>
      <c r="G22" s="109"/>
      <c r="H22" s="109"/>
      <c r="I22" s="109"/>
      <c r="J22" s="109"/>
      <c r="K22" s="109"/>
      <c r="L22" s="109"/>
      <c r="M22" s="109"/>
      <c r="N22" s="109"/>
      <c r="O22" s="109"/>
    </row>
    <row r="23" spans="1:15" ht="26.25" customHeight="1">
      <c r="A23" s="696"/>
      <c r="B23" s="697"/>
      <c r="C23" s="109" t="s">
        <v>282</v>
      </c>
      <c r="D23" s="109"/>
      <c r="E23" s="109"/>
      <c r="F23" s="109"/>
      <c r="G23" s="109"/>
      <c r="H23" s="109"/>
      <c r="I23" s="109"/>
      <c r="J23" s="109"/>
      <c r="K23" s="109"/>
      <c r="L23" s="109"/>
      <c r="M23" s="109"/>
      <c r="N23" s="109"/>
      <c r="O23" s="109"/>
    </row>
    <row r="24" spans="1:15" ht="25.5" customHeight="1">
      <c r="A24" s="696" t="s">
        <v>316</v>
      </c>
      <c r="B24" s="697" t="s">
        <v>296</v>
      </c>
      <c r="C24" s="109" t="s">
        <v>283</v>
      </c>
      <c r="D24" s="109"/>
      <c r="E24" s="109"/>
      <c r="F24" s="109"/>
      <c r="G24" s="109"/>
      <c r="H24" s="109"/>
      <c r="I24" s="109"/>
      <c r="J24" s="109"/>
      <c r="K24" s="109"/>
      <c r="L24" s="109"/>
      <c r="M24" s="109"/>
      <c r="N24" s="109"/>
      <c r="O24" s="109"/>
    </row>
    <row r="25" spans="1:15" ht="23.25" customHeight="1">
      <c r="A25" s="696"/>
      <c r="B25" s="697"/>
      <c r="C25" s="109" t="s">
        <v>282</v>
      </c>
      <c r="D25" s="109"/>
      <c r="E25" s="109"/>
      <c r="F25" s="109"/>
      <c r="G25" s="109"/>
      <c r="H25" s="109"/>
      <c r="I25" s="109"/>
      <c r="J25" s="109"/>
      <c r="K25" s="109"/>
      <c r="L25" s="109"/>
      <c r="M25" s="109"/>
      <c r="N25" s="109"/>
      <c r="O25" s="109"/>
    </row>
    <row r="26" spans="1:15" ht="29.25" customHeight="1">
      <c r="A26" s="696" t="s">
        <v>317</v>
      </c>
      <c r="B26" s="697" t="s">
        <v>297</v>
      </c>
      <c r="C26" s="109" t="s">
        <v>283</v>
      </c>
      <c r="D26" s="109"/>
      <c r="E26" s="109"/>
      <c r="F26" s="109"/>
      <c r="G26" s="109"/>
      <c r="H26" s="109"/>
      <c r="I26" s="109"/>
      <c r="J26" s="109"/>
      <c r="K26" s="109"/>
      <c r="L26" s="109"/>
      <c r="M26" s="109"/>
      <c r="N26" s="109"/>
      <c r="O26" s="109"/>
    </row>
    <row r="27" spans="1:15" ht="32.25" customHeight="1">
      <c r="A27" s="696"/>
      <c r="B27" s="697"/>
      <c r="C27" s="109" t="s">
        <v>282</v>
      </c>
      <c r="D27" s="109"/>
      <c r="E27" s="109"/>
      <c r="F27" s="109"/>
      <c r="G27" s="109"/>
      <c r="H27" s="109"/>
      <c r="I27" s="109"/>
      <c r="J27" s="109"/>
      <c r="K27" s="109"/>
      <c r="L27" s="109"/>
      <c r="M27" s="109"/>
      <c r="N27" s="109"/>
      <c r="O27" s="109"/>
    </row>
    <row r="28" spans="1:15" ht="24.75" customHeight="1">
      <c r="A28" s="696" t="s">
        <v>318</v>
      </c>
      <c r="B28" s="697" t="s">
        <v>298</v>
      </c>
      <c r="C28" s="109" t="s">
        <v>283</v>
      </c>
      <c r="D28" s="109"/>
      <c r="E28" s="109"/>
      <c r="F28" s="109"/>
      <c r="G28" s="109"/>
      <c r="H28" s="109"/>
      <c r="I28" s="109"/>
      <c r="J28" s="109"/>
      <c r="K28" s="109"/>
      <c r="L28" s="109"/>
      <c r="M28" s="109"/>
      <c r="N28" s="109"/>
      <c r="O28" s="109"/>
    </row>
    <row r="29" spans="1:15" ht="24.75" customHeight="1">
      <c r="A29" s="696"/>
      <c r="B29" s="697"/>
      <c r="C29" s="109" t="s">
        <v>282</v>
      </c>
      <c r="D29" s="109"/>
      <c r="E29" s="109"/>
      <c r="F29" s="109"/>
      <c r="G29" s="109"/>
      <c r="H29" s="109"/>
      <c r="I29" s="109"/>
      <c r="J29" s="109"/>
      <c r="K29" s="109"/>
      <c r="L29" s="109"/>
      <c r="M29" s="109"/>
      <c r="N29" s="109"/>
      <c r="O29" s="109"/>
    </row>
    <row r="30" spans="1:15" ht="39.75" customHeight="1">
      <c r="A30" s="696" t="s">
        <v>288</v>
      </c>
      <c r="B30" s="697" t="s">
        <v>299</v>
      </c>
      <c r="C30" s="109" t="s">
        <v>283</v>
      </c>
      <c r="D30" s="109"/>
      <c r="E30" s="109"/>
      <c r="F30" s="109"/>
      <c r="G30" s="109"/>
      <c r="H30" s="109"/>
      <c r="I30" s="109"/>
      <c r="J30" s="109"/>
      <c r="K30" s="109"/>
      <c r="L30" s="109"/>
      <c r="M30" s="109"/>
      <c r="N30" s="109"/>
      <c r="O30" s="109"/>
    </row>
    <row r="31" spans="1:15" ht="45" customHeight="1">
      <c r="A31" s="696"/>
      <c r="B31" s="697"/>
      <c r="C31" s="109" t="s">
        <v>282</v>
      </c>
      <c r="D31" s="109"/>
      <c r="E31" s="109"/>
      <c r="F31" s="109"/>
      <c r="G31" s="109"/>
      <c r="H31" s="109"/>
      <c r="I31" s="109"/>
      <c r="J31" s="109"/>
      <c r="K31" s="109"/>
      <c r="L31" s="109"/>
      <c r="M31" s="109"/>
      <c r="N31" s="109"/>
      <c r="O31" s="109"/>
    </row>
    <row r="32" spans="1:15" ht="28.5" customHeight="1">
      <c r="A32" s="696" t="s">
        <v>319</v>
      </c>
      <c r="B32" s="697" t="s">
        <v>281</v>
      </c>
      <c r="C32" s="109" t="s">
        <v>283</v>
      </c>
      <c r="D32" s="109"/>
      <c r="E32" s="109"/>
      <c r="F32" s="109"/>
      <c r="G32" s="109"/>
      <c r="H32" s="109"/>
      <c r="I32" s="109"/>
      <c r="J32" s="109"/>
      <c r="K32" s="109"/>
      <c r="L32" s="109"/>
      <c r="M32" s="109"/>
      <c r="N32" s="109"/>
      <c r="O32" s="109"/>
    </row>
    <row r="33" spans="1:15" ht="26.25" customHeight="1">
      <c r="A33" s="696"/>
      <c r="B33" s="697"/>
      <c r="C33" s="109" t="s">
        <v>282</v>
      </c>
      <c r="D33" s="109"/>
      <c r="E33" s="109"/>
      <c r="F33" s="109"/>
      <c r="G33" s="109"/>
      <c r="H33" s="109"/>
      <c r="I33" s="109"/>
      <c r="J33" s="109"/>
      <c r="K33" s="109"/>
      <c r="L33" s="109"/>
      <c r="M33" s="109"/>
      <c r="N33" s="109"/>
      <c r="O33" s="109"/>
    </row>
    <row r="34" spans="1:15" ht="30.75" customHeight="1">
      <c r="A34" s="696" t="s">
        <v>320</v>
      </c>
      <c r="B34" s="697" t="s">
        <v>296</v>
      </c>
      <c r="C34" s="109" t="s">
        <v>283</v>
      </c>
      <c r="D34" s="109"/>
      <c r="E34" s="109"/>
      <c r="F34" s="109"/>
      <c r="G34" s="109"/>
      <c r="H34" s="109"/>
      <c r="I34" s="109"/>
      <c r="J34" s="109"/>
      <c r="K34" s="109"/>
      <c r="L34" s="109"/>
      <c r="M34" s="109"/>
      <c r="N34" s="109"/>
      <c r="O34" s="109"/>
    </row>
    <row r="35" spans="1:15" ht="30.75" customHeight="1">
      <c r="A35" s="696"/>
      <c r="B35" s="697"/>
      <c r="C35" s="109" t="s">
        <v>282</v>
      </c>
      <c r="D35" s="109"/>
      <c r="E35" s="109"/>
      <c r="F35" s="109"/>
      <c r="G35" s="109"/>
      <c r="H35" s="109"/>
      <c r="I35" s="109"/>
      <c r="J35" s="109"/>
      <c r="K35" s="109"/>
      <c r="L35" s="109"/>
      <c r="M35" s="109"/>
      <c r="N35" s="109"/>
      <c r="O35" s="109"/>
    </row>
    <row r="36" spans="1:15" ht="30.75" customHeight="1">
      <c r="A36" s="696" t="s">
        <v>321</v>
      </c>
      <c r="B36" s="697" t="s">
        <v>297</v>
      </c>
      <c r="C36" s="109" t="s">
        <v>283</v>
      </c>
      <c r="D36" s="109"/>
      <c r="E36" s="109"/>
      <c r="F36" s="109"/>
      <c r="G36" s="109"/>
      <c r="H36" s="109"/>
      <c r="I36" s="109"/>
      <c r="J36" s="109"/>
      <c r="K36" s="109"/>
      <c r="L36" s="109"/>
      <c r="M36" s="109"/>
      <c r="N36" s="109"/>
      <c r="O36" s="109"/>
    </row>
    <row r="37" spans="1:15" ht="27.75" customHeight="1">
      <c r="A37" s="696"/>
      <c r="B37" s="697"/>
      <c r="C37" s="109" t="s">
        <v>282</v>
      </c>
      <c r="D37" s="109"/>
      <c r="E37" s="109"/>
      <c r="F37" s="109"/>
      <c r="G37" s="109"/>
      <c r="H37" s="109"/>
      <c r="I37" s="109"/>
      <c r="J37" s="109"/>
      <c r="K37" s="109"/>
      <c r="L37" s="109"/>
      <c r="M37" s="109"/>
      <c r="N37" s="109"/>
      <c r="O37" s="109"/>
    </row>
    <row r="38" spans="1:15" ht="30.75" customHeight="1">
      <c r="A38" s="696" t="s">
        <v>322</v>
      </c>
      <c r="B38" s="697" t="s">
        <v>298</v>
      </c>
      <c r="C38" s="109" t="s">
        <v>283</v>
      </c>
      <c r="D38" s="109"/>
      <c r="E38" s="109"/>
      <c r="F38" s="109"/>
      <c r="G38" s="109"/>
      <c r="H38" s="109"/>
      <c r="I38" s="109"/>
      <c r="J38" s="109"/>
      <c r="K38" s="109"/>
      <c r="L38" s="109"/>
      <c r="M38" s="109"/>
      <c r="N38" s="109"/>
      <c r="O38" s="109"/>
    </row>
    <row r="39" spans="1:15" ht="32.25" customHeight="1">
      <c r="A39" s="696"/>
      <c r="B39" s="697"/>
      <c r="C39" s="109" t="s">
        <v>282</v>
      </c>
      <c r="D39" s="109"/>
      <c r="E39" s="109"/>
      <c r="F39" s="109"/>
      <c r="G39" s="109"/>
      <c r="H39" s="109"/>
      <c r="I39" s="109"/>
      <c r="J39" s="109"/>
      <c r="K39" s="109"/>
      <c r="L39" s="109"/>
      <c r="M39" s="109"/>
      <c r="N39" s="109"/>
      <c r="O39" s="109"/>
    </row>
    <row r="40" spans="1:15" ht="40.5" customHeight="1">
      <c r="A40" s="696" t="s">
        <v>289</v>
      </c>
      <c r="B40" s="697" t="s">
        <v>300</v>
      </c>
      <c r="C40" s="109" t="s">
        <v>283</v>
      </c>
      <c r="D40" s="109"/>
      <c r="E40" s="109"/>
      <c r="F40" s="109"/>
      <c r="G40" s="109"/>
      <c r="H40" s="109"/>
      <c r="I40" s="109"/>
      <c r="J40" s="109"/>
      <c r="K40" s="109"/>
      <c r="L40" s="109"/>
      <c r="M40" s="109"/>
      <c r="N40" s="109"/>
      <c r="O40" s="109"/>
    </row>
    <row r="41" spans="1:15" ht="33" customHeight="1">
      <c r="A41" s="696"/>
      <c r="B41" s="697"/>
      <c r="C41" s="109" t="s">
        <v>282</v>
      </c>
      <c r="D41" s="109"/>
      <c r="E41" s="109"/>
      <c r="F41" s="109"/>
      <c r="G41" s="109"/>
      <c r="H41" s="109"/>
      <c r="I41" s="109"/>
      <c r="J41" s="109"/>
      <c r="K41" s="109"/>
      <c r="L41" s="109"/>
      <c r="M41" s="109"/>
      <c r="N41" s="109"/>
      <c r="O41" s="109"/>
    </row>
    <row r="42" spans="1:15" ht="27" customHeight="1">
      <c r="A42" s="696" t="s">
        <v>323</v>
      </c>
      <c r="B42" s="697" t="s">
        <v>281</v>
      </c>
      <c r="C42" s="109" t="s">
        <v>283</v>
      </c>
      <c r="D42" s="109"/>
      <c r="E42" s="109"/>
      <c r="F42" s="109"/>
      <c r="G42" s="109"/>
      <c r="H42" s="109"/>
      <c r="I42" s="109"/>
      <c r="J42" s="109"/>
      <c r="K42" s="109"/>
      <c r="L42" s="109"/>
      <c r="M42" s="109"/>
      <c r="N42" s="109"/>
      <c r="O42" s="109"/>
    </row>
    <row r="43" spans="1:15" ht="30.75" customHeight="1">
      <c r="A43" s="696"/>
      <c r="B43" s="697"/>
      <c r="C43" s="109" t="s">
        <v>282</v>
      </c>
      <c r="D43" s="109"/>
      <c r="E43" s="109"/>
      <c r="F43" s="109"/>
      <c r="G43" s="109"/>
      <c r="H43" s="109"/>
      <c r="I43" s="109"/>
      <c r="J43" s="109"/>
      <c r="K43" s="109"/>
      <c r="L43" s="109"/>
      <c r="M43" s="109"/>
      <c r="N43" s="109"/>
      <c r="O43" s="109"/>
    </row>
    <row r="44" spans="1:15" ht="30.75" customHeight="1">
      <c r="A44" s="696" t="s">
        <v>324</v>
      </c>
      <c r="B44" s="697" t="s">
        <v>296</v>
      </c>
      <c r="C44" s="109" t="s">
        <v>283</v>
      </c>
      <c r="D44" s="109"/>
      <c r="E44" s="109"/>
      <c r="F44" s="109"/>
      <c r="G44" s="109"/>
      <c r="H44" s="109"/>
      <c r="I44" s="109"/>
      <c r="J44" s="109"/>
      <c r="K44" s="109"/>
      <c r="L44" s="109"/>
      <c r="M44" s="109"/>
      <c r="N44" s="109"/>
      <c r="O44" s="109"/>
    </row>
    <row r="45" spans="1:15" ht="29.25" customHeight="1">
      <c r="A45" s="696"/>
      <c r="B45" s="697"/>
      <c r="C45" s="109" t="s">
        <v>282</v>
      </c>
      <c r="D45" s="109"/>
      <c r="E45" s="109"/>
      <c r="F45" s="109"/>
      <c r="G45" s="109"/>
      <c r="H45" s="109"/>
      <c r="I45" s="109"/>
      <c r="J45" s="109"/>
      <c r="K45" s="109"/>
      <c r="L45" s="109"/>
      <c r="M45" s="109"/>
      <c r="N45" s="109"/>
      <c r="O45" s="109"/>
    </row>
    <row r="46" spans="1:15" ht="31.5" customHeight="1">
      <c r="A46" s="696" t="s">
        <v>325</v>
      </c>
      <c r="B46" s="697" t="s">
        <v>297</v>
      </c>
      <c r="C46" s="109" t="s">
        <v>283</v>
      </c>
      <c r="D46" s="109"/>
      <c r="E46" s="109"/>
      <c r="F46" s="109"/>
      <c r="G46" s="109"/>
      <c r="H46" s="109"/>
      <c r="I46" s="109"/>
      <c r="J46" s="109"/>
      <c r="K46" s="109"/>
      <c r="L46" s="109"/>
      <c r="M46" s="109"/>
      <c r="N46" s="109"/>
      <c r="O46" s="109"/>
    </row>
    <row r="47" spans="1:15" ht="30.75" customHeight="1">
      <c r="A47" s="696"/>
      <c r="B47" s="697"/>
      <c r="C47" s="109" t="s">
        <v>282</v>
      </c>
      <c r="D47" s="109"/>
      <c r="E47" s="109"/>
      <c r="F47" s="109"/>
      <c r="G47" s="109"/>
      <c r="H47" s="109"/>
      <c r="I47" s="109"/>
      <c r="J47" s="109"/>
      <c r="K47" s="109"/>
      <c r="L47" s="109"/>
      <c r="M47" s="109"/>
      <c r="N47" s="109"/>
      <c r="O47" s="109"/>
    </row>
    <row r="48" spans="1:15" ht="27.75" customHeight="1">
      <c r="A48" s="696" t="s">
        <v>326</v>
      </c>
      <c r="B48" s="697" t="s">
        <v>298</v>
      </c>
      <c r="C48" s="109" t="s">
        <v>283</v>
      </c>
      <c r="D48" s="109"/>
      <c r="E48" s="109"/>
      <c r="F48" s="109"/>
      <c r="G48" s="109"/>
      <c r="H48" s="109"/>
      <c r="I48" s="109"/>
      <c r="J48" s="109"/>
      <c r="K48" s="109"/>
      <c r="L48" s="109"/>
      <c r="M48" s="109"/>
      <c r="N48" s="109"/>
      <c r="O48" s="109"/>
    </row>
    <row r="49" spans="1:15" ht="27.75" customHeight="1">
      <c r="A49" s="696"/>
      <c r="B49" s="697"/>
      <c r="C49" s="109" t="s">
        <v>282</v>
      </c>
      <c r="D49" s="109"/>
      <c r="E49" s="109"/>
      <c r="F49" s="109"/>
      <c r="G49" s="109"/>
      <c r="H49" s="109"/>
      <c r="I49" s="109"/>
      <c r="J49" s="108"/>
      <c r="K49" s="108"/>
      <c r="L49" s="108"/>
      <c r="M49" s="108"/>
      <c r="N49" s="108"/>
      <c r="O49" s="108"/>
    </row>
    <row r="50" spans="1:15" ht="102.75" customHeight="1">
      <c r="A50" s="112" t="s">
        <v>290</v>
      </c>
      <c r="B50" s="108" t="s">
        <v>386</v>
      </c>
      <c r="C50" s="109" t="s">
        <v>387</v>
      </c>
      <c r="D50" s="109"/>
      <c r="E50" s="109"/>
      <c r="F50" s="109"/>
      <c r="G50" s="109"/>
      <c r="H50" s="109"/>
      <c r="I50" s="109"/>
      <c r="J50" s="108"/>
      <c r="K50" s="108"/>
      <c r="L50" s="108"/>
      <c r="M50" s="108"/>
      <c r="N50" s="108"/>
      <c r="O50" s="108"/>
    </row>
    <row r="51" spans="1:15" ht="39.75" customHeight="1">
      <c r="A51" s="112" t="s">
        <v>327</v>
      </c>
      <c r="B51" s="108" t="s">
        <v>301</v>
      </c>
      <c r="C51" s="109" t="s">
        <v>387</v>
      </c>
      <c r="D51" s="109"/>
      <c r="E51" s="109"/>
      <c r="F51" s="109"/>
      <c r="G51" s="109"/>
      <c r="H51" s="109"/>
      <c r="I51" s="109"/>
      <c r="J51" s="108"/>
      <c r="K51" s="108"/>
      <c r="L51" s="108"/>
      <c r="M51" s="108"/>
      <c r="N51" s="108"/>
      <c r="O51" s="108"/>
    </row>
    <row r="52" spans="1:15" ht="47.25">
      <c r="A52" s="112" t="s">
        <v>328</v>
      </c>
      <c r="B52" s="108" t="s">
        <v>302</v>
      </c>
      <c r="C52" s="109" t="s">
        <v>387</v>
      </c>
      <c r="D52" s="109"/>
      <c r="E52" s="109"/>
      <c r="F52" s="109"/>
      <c r="G52" s="109"/>
      <c r="H52" s="109"/>
      <c r="I52" s="109"/>
      <c r="J52" s="108"/>
      <c r="K52" s="108"/>
      <c r="L52" s="108"/>
      <c r="M52" s="108"/>
      <c r="N52" s="108"/>
      <c r="O52" s="108"/>
    </row>
    <row r="53" spans="1:15" ht="54.75" customHeight="1">
      <c r="A53" s="112" t="s">
        <v>329</v>
      </c>
      <c r="B53" s="108" t="s">
        <v>303</v>
      </c>
      <c r="C53" s="109" t="s">
        <v>387</v>
      </c>
      <c r="D53" s="109"/>
      <c r="E53" s="109"/>
      <c r="F53" s="109"/>
      <c r="G53" s="109"/>
      <c r="H53" s="109"/>
      <c r="I53" s="109"/>
      <c r="J53" s="108"/>
      <c r="K53" s="108"/>
      <c r="L53" s="108"/>
      <c r="M53" s="108"/>
      <c r="N53" s="108"/>
      <c r="O53" s="108"/>
    </row>
    <row r="54" spans="1:15" ht="48.75" customHeight="1">
      <c r="A54" s="112" t="s">
        <v>330</v>
      </c>
      <c r="B54" s="108" t="s">
        <v>304</v>
      </c>
      <c r="C54" s="109" t="s">
        <v>387</v>
      </c>
      <c r="D54" s="109"/>
      <c r="E54" s="109"/>
      <c r="F54" s="109"/>
      <c r="G54" s="109"/>
      <c r="H54" s="109"/>
      <c r="I54" s="109"/>
      <c r="J54" s="108"/>
      <c r="K54" s="108"/>
      <c r="L54" s="108"/>
      <c r="M54" s="108"/>
      <c r="N54" s="108"/>
      <c r="O54" s="108"/>
    </row>
    <row r="55" spans="1:15" ht="29.25" customHeight="1">
      <c r="A55" s="696" t="s">
        <v>331</v>
      </c>
      <c r="B55" s="697" t="s">
        <v>385</v>
      </c>
      <c r="C55" s="109" t="s">
        <v>424</v>
      </c>
      <c r="D55" s="109"/>
      <c r="E55" s="109"/>
      <c r="F55" s="109"/>
      <c r="G55" s="109"/>
      <c r="H55" s="109"/>
      <c r="I55" s="109"/>
      <c r="J55" s="108"/>
      <c r="K55" s="108"/>
      <c r="L55" s="108"/>
      <c r="M55" s="108"/>
      <c r="N55" s="108"/>
      <c r="O55" s="108"/>
    </row>
    <row r="56" spans="1:15" ht="27.75" customHeight="1">
      <c r="A56" s="696"/>
      <c r="B56" s="697"/>
      <c r="C56" s="109" t="s">
        <v>277</v>
      </c>
      <c r="D56" s="109"/>
      <c r="E56" s="109"/>
      <c r="F56" s="109"/>
      <c r="G56" s="109"/>
      <c r="H56" s="109"/>
      <c r="I56" s="109"/>
      <c r="J56" s="108"/>
      <c r="K56" s="108"/>
      <c r="L56" s="108"/>
      <c r="M56" s="108"/>
      <c r="N56" s="108"/>
      <c r="O56" s="108"/>
    </row>
    <row r="57" spans="1:15" ht="27.75" customHeight="1">
      <c r="A57" s="696"/>
      <c r="B57" s="697"/>
      <c r="C57" s="109" t="s">
        <v>278</v>
      </c>
      <c r="D57" s="109"/>
      <c r="E57" s="109"/>
      <c r="F57" s="109"/>
      <c r="G57" s="109"/>
      <c r="H57" s="109"/>
      <c r="I57" s="109"/>
      <c r="J57" s="108"/>
      <c r="K57" s="108"/>
      <c r="L57" s="108"/>
      <c r="M57" s="108"/>
      <c r="N57" s="108"/>
      <c r="O57" s="108"/>
    </row>
    <row r="58" spans="1:15" ht="24" customHeight="1">
      <c r="A58" s="696"/>
      <c r="B58" s="697"/>
      <c r="C58" s="109" t="s">
        <v>388</v>
      </c>
      <c r="D58" s="109"/>
      <c r="E58" s="109"/>
      <c r="F58" s="109"/>
      <c r="G58" s="109"/>
      <c r="H58" s="109"/>
      <c r="I58" s="109"/>
      <c r="J58" s="108"/>
      <c r="K58" s="108"/>
      <c r="L58" s="108"/>
      <c r="M58" s="108"/>
      <c r="N58" s="108"/>
      <c r="O58" s="108"/>
    </row>
    <row r="59" spans="1:15" ht="15.75">
      <c r="A59" s="696" t="s">
        <v>332</v>
      </c>
      <c r="B59" s="697" t="s">
        <v>296</v>
      </c>
      <c r="C59" s="109" t="s">
        <v>424</v>
      </c>
      <c r="D59" s="109"/>
      <c r="E59" s="109"/>
      <c r="F59" s="109"/>
      <c r="G59" s="109"/>
      <c r="H59" s="109"/>
      <c r="I59" s="109"/>
      <c r="J59" s="108"/>
      <c r="K59" s="108"/>
      <c r="L59" s="108"/>
      <c r="M59" s="108"/>
      <c r="N59" s="108"/>
      <c r="O59" s="108"/>
    </row>
    <row r="60" spans="1:15" ht="15.75">
      <c r="A60" s="696"/>
      <c r="B60" s="697"/>
      <c r="C60" s="109" t="s">
        <v>277</v>
      </c>
      <c r="D60" s="109"/>
      <c r="E60" s="109"/>
      <c r="F60" s="109"/>
      <c r="G60" s="109"/>
      <c r="H60" s="109"/>
      <c r="I60" s="109"/>
      <c r="J60" s="108"/>
      <c r="K60" s="108"/>
      <c r="L60" s="108"/>
      <c r="M60" s="108"/>
      <c r="N60" s="108"/>
      <c r="O60" s="108"/>
    </row>
    <row r="61" spans="1:15" ht="15.75">
      <c r="A61" s="696"/>
      <c r="B61" s="697"/>
      <c r="C61" s="109" t="s">
        <v>278</v>
      </c>
      <c r="D61" s="109"/>
      <c r="E61" s="109"/>
      <c r="F61" s="109"/>
      <c r="G61" s="109"/>
      <c r="H61" s="109"/>
      <c r="I61" s="109"/>
      <c r="J61" s="108"/>
      <c r="K61" s="108"/>
      <c r="L61" s="108"/>
      <c r="M61" s="108"/>
      <c r="N61" s="108"/>
      <c r="O61" s="108"/>
    </row>
    <row r="62" spans="1:15" ht="18.75">
      <c r="A62" s="696"/>
      <c r="B62" s="697"/>
      <c r="C62" s="109" t="s">
        <v>388</v>
      </c>
      <c r="D62" s="109"/>
      <c r="E62" s="109"/>
      <c r="F62" s="109"/>
      <c r="G62" s="109"/>
      <c r="H62" s="109"/>
      <c r="I62" s="109"/>
      <c r="J62" s="108"/>
      <c r="K62" s="108"/>
      <c r="L62" s="108"/>
      <c r="M62" s="108"/>
      <c r="N62" s="108"/>
      <c r="O62" s="108"/>
    </row>
    <row r="63" spans="1:15" ht="15.75">
      <c r="A63" s="696" t="s">
        <v>333</v>
      </c>
      <c r="B63" s="697" t="s">
        <v>297</v>
      </c>
      <c r="C63" s="109" t="s">
        <v>424</v>
      </c>
      <c r="D63" s="109"/>
      <c r="E63" s="109"/>
      <c r="F63" s="109"/>
      <c r="G63" s="109"/>
      <c r="H63" s="109"/>
      <c r="I63" s="109"/>
      <c r="J63" s="108"/>
      <c r="K63" s="108"/>
      <c r="L63" s="108"/>
      <c r="M63" s="108"/>
      <c r="N63" s="108"/>
      <c r="O63" s="108"/>
    </row>
    <row r="64" spans="1:15" ht="15.75">
      <c r="A64" s="696"/>
      <c r="B64" s="697"/>
      <c r="C64" s="109" t="s">
        <v>277</v>
      </c>
      <c r="D64" s="109"/>
      <c r="E64" s="109"/>
      <c r="F64" s="109"/>
      <c r="G64" s="109"/>
      <c r="H64" s="109"/>
      <c r="I64" s="109"/>
      <c r="J64" s="108"/>
      <c r="K64" s="108"/>
      <c r="L64" s="108"/>
      <c r="M64" s="108"/>
      <c r="N64" s="108"/>
      <c r="O64" s="108"/>
    </row>
    <row r="65" spans="1:15" ht="15.75">
      <c r="A65" s="696"/>
      <c r="B65" s="697"/>
      <c r="C65" s="109" t="s">
        <v>278</v>
      </c>
      <c r="D65" s="109"/>
      <c r="E65" s="109"/>
      <c r="F65" s="109"/>
      <c r="G65" s="109"/>
      <c r="H65" s="109"/>
      <c r="I65" s="109"/>
      <c r="J65" s="108"/>
      <c r="K65" s="108"/>
      <c r="L65" s="108"/>
      <c r="M65" s="108"/>
      <c r="N65" s="108"/>
      <c r="O65" s="108"/>
    </row>
    <row r="66" spans="1:15" ht="18.75">
      <c r="A66" s="696"/>
      <c r="B66" s="697"/>
      <c r="C66" s="109" t="s">
        <v>388</v>
      </c>
      <c r="D66" s="109"/>
      <c r="E66" s="109"/>
      <c r="F66" s="109"/>
      <c r="G66" s="109"/>
      <c r="H66" s="109"/>
      <c r="I66" s="109"/>
      <c r="J66" s="108"/>
      <c r="K66" s="108"/>
      <c r="L66" s="108"/>
      <c r="M66" s="108"/>
      <c r="N66" s="108"/>
      <c r="O66" s="108"/>
    </row>
    <row r="67" spans="1:15" ht="15.75">
      <c r="A67" s="696" t="s">
        <v>334</v>
      </c>
      <c r="B67" s="697" t="s">
        <v>298</v>
      </c>
      <c r="C67" s="109" t="s">
        <v>424</v>
      </c>
      <c r="D67" s="109"/>
      <c r="E67" s="109"/>
      <c r="F67" s="109"/>
      <c r="G67" s="109"/>
      <c r="H67" s="109"/>
      <c r="I67" s="109"/>
      <c r="J67" s="108"/>
      <c r="K67" s="108"/>
      <c r="L67" s="108"/>
      <c r="M67" s="108"/>
      <c r="N67" s="108"/>
      <c r="O67" s="108"/>
    </row>
    <row r="68" spans="1:15" ht="15.75">
      <c r="A68" s="696"/>
      <c r="B68" s="697"/>
      <c r="C68" s="109" t="s">
        <v>277</v>
      </c>
      <c r="D68" s="109"/>
      <c r="E68" s="109"/>
      <c r="F68" s="109"/>
      <c r="G68" s="109"/>
      <c r="H68" s="109"/>
      <c r="I68" s="109"/>
      <c r="J68" s="108"/>
      <c r="K68" s="108"/>
      <c r="L68" s="108"/>
      <c r="M68" s="108"/>
      <c r="N68" s="108"/>
      <c r="O68" s="108"/>
    </row>
    <row r="69" spans="1:15" ht="29.25" customHeight="1">
      <c r="A69" s="696"/>
      <c r="B69" s="697"/>
      <c r="C69" s="109" t="s">
        <v>278</v>
      </c>
      <c r="D69" s="109"/>
      <c r="E69" s="109"/>
      <c r="F69" s="109"/>
      <c r="G69" s="109"/>
      <c r="H69" s="109"/>
      <c r="I69" s="109"/>
      <c r="J69" s="108"/>
      <c r="K69" s="108"/>
      <c r="L69" s="108"/>
      <c r="M69" s="108"/>
      <c r="N69" s="108"/>
      <c r="O69" s="108"/>
    </row>
    <row r="70" spans="1:15" ht="25.5" customHeight="1">
      <c r="A70" s="696"/>
      <c r="B70" s="697"/>
      <c r="C70" s="109" t="s">
        <v>388</v>
      </c>
      <c r="D70" s="109"/>
      <c r="E70" s="109"/>
      <c r="F70" s="109"/>
      <c r="G70" s="109"/>
      <c r="H70" s="109"/>
      <c r="I70" s="109"/>
      <c r="J70" s="108"/>
      <c r="K70" s="108"/>
      <c r="L70" s="108"/>
      <c r="M70" s="108"/>
      <c r="N70" s="108"/>
      <c r="O70" s="108"/>
    </row>
    <row r="71" spans="1:15" ht="27.75" customHeight="1">
      <c r="A71" s="696" t="s">
        <v>335</v>
      </c>
      <c r="B71" s="697" t="s">
        <v>384</v>
      </c>
      <c r="C71" s="109" t="s">
        <v>424</v>
      </c>
      <c r="D71" s="108"/>
      <c r="E71" s="108"/>
      <c r="F71" s="108"/>
      <c r="G71" s="108"/>
      <c r="H71" s="108"/>
      <c r="I71" s="108"/>
      <c r="J71" s="108"/>
      <c r="K71" s="108"/>
      <c r="L71" s="108"/>
      <c r="M71" s="108"/>
      <c r="N71" s="108"/>
      <c r="O71" s="108"/>
    </row>
    <row r="72" spans="1:15" ht="28.5" customHeight="1">
      <c r="A72" s="696"/>
      <c r="B72" s="697"/>
      <c r="C72" s="109" t="s">
        <v>277</v>
      </c>
      <c r="D72" s="108"/>
      <c r="E72" s="108"/>
      <c r="F72" s="108"/>
      <c r="G72" s="108"/>
      <c r="H72" s="108"/>
      <c r="I72" s="108"/>
      <c r="J72" s="108"/>
      <c r="K72" s="108"/>
      <c r="L72" s="108"/>
      <c r="M72" s="108"/>
      <c r="N72" s="108"/>
      <c r="O72" s="108"/>
    </row>
    <row r="73" spans="1:15" ht="24" customHeight="1">
      <c r="A73" s="696"/>
      <c r="B73" s="697"/>
      <c r="C73" s="109" t="s">
        <v>278</v>
      </c>
      <c r="D73" s="108"/>
      <c r="E73" s="108"/>
      <c r="F73" s="108"/>
      <c r="G73" s="108"/>
      <c r="H73" s="108"/>
      <c r="I73" s="108"/>
      <c r="J73" s="108"/>
      <c r="K73" s="108"/>
      <c r="L73" s="108"/>
      <c r="M73" s="108"/>
      <c r="N73" s="108"/>
      <c r="O73" s="108"/>
    </row>
    <row r="74" spans="1:15" ht="21.75" customHeight="1">
      <c r="A74" s="696"/>
      <c r="B74" s="697"/>
      <c r="C74" s="109" t="s">
        <v>388</v>
      </c>
      <c r="D74" s="108"/>
      <c r="E74" s="108"/>
      <c r="F74" s="108"/>
      <c r="G74" s="108"/>
      <c r="H74" s="108"/>
      <c r="I74" s="108"/>
      <c r="J74" s="108"/>
      <c r="K74" s="108"/>
      <c r="L74" s="108"/>
      <c r="M74" s="108"/>
      <c r="N74" s="108"/>
      <c r="O74" s="108"/>
    </row>
    <row r="75" spans="1:15" ht="15.75">
      <c r="A75" s="696" t="s">
        <v>336</v>
      </c>
      <c r="B75" s="697" t="s">
        <v>296</v>
      </c>
      <c r="C75" s="109" t="s">
        <v>424</v>
      </c>
      <c r="D75" s="109"/>
      <c r="E75" s="109"/>
      <c r="F75" s="109"/>
      <c r="G75" s="109"/>
      <c r="H75" s="109"/>
      <c r="I75" s="109"/>
      <c r="J75" s="108"/>
      <c r="K75" s="108"/>
      <c r="L75" s="108"/>
      <c r="M75" s="108"/>
      <c r="N75" s="108"/>
      <c r="O75" s="108"/>
    </row>
    <row r="76" spans="1:15" ht="15.75">
      <c r="A76" s="696"/>
      <c r="B76" s="697"/>
      <c r="C76" s="109" t="s">
        <v>277</v>
      </c>
      <c r="D76" s="109"/>
      <c r="E76" s="109"/>
      <c r="F76" s="109"/>
      <c r="G76" s="109"/>
      <c r="H76" s="109"/>
      <c r="I76" s="109"/>
      <c r="J76" s="108"/>
      <c r="K76" s="108"/>
      <c r="L76" s="108"/>
      <c r="M76" s="108"/>
      <c r="N76" s="108"/>
      <c r="O76" s="108"/>
    </row>
    <row r="77" spans="1:15" ht="15.75">
      <c r="A77" s="696"/>
      <c r="B77" s="697"/>
      <c r="C77" s="109" t="s">
        <v>278</v>
      </c>
      <c r="D77" s="109"/>
      <c r="E77" s="109"/>
      <c r="F77" s="109"/>
      <c r="G77" s="109"/>
      <c r="H77" s="109"/>
      <c r="I77" s="109"/>
      <c r="J77" s="108"/>
      <c r="K77" s="108"/>
      <c r="L77" s="108"/>
      <c r="M77" s="108"/>
      <c r="N77" s="108"/>
      <c r="O77" s="108"/>
    </row>
    <row r="78" spans="1:15" ht="15.75">
      <c r="A78" s="696"/>
      <c r="B78" s="697"/>
      <c r="C78" s="109" t="s">
        <v>6</v>
      </c>
      <c r="D78" s="109"/>
      <c r="E78" s="109"/>
      <c r="F78" s="109"/>
      <c r="G78" s="109"/>
      <c r="H78" s="109"/>
      <c r="I78" s="109"/>
      <c r="J78" s="108"/>
      <c r="K78" s="108"/>
      <c r="L78" s="108"/>
      <c r="M78" s="108"/>
      <c r="N78" s="108"/>
      <c r="O78" s="108"/>
    </row>
    <row r="79" spans="1:15" ht="15.75">
      <c r="A79" s="696" t="s">
        <v>337</v>
      </c>
      <c r="B79" s="697" t="s">
        <v>297</v>
      </c>
      <c r="C79" s="109" t="s">
        <v>424</v>
      </c>
      <c r="D79" s="109"/>
      <c r="E79" s="109"/>
      <c r="F79" s="109"/>
      <c r="G79" s="109"/>
      <c r="H79" s="109"/>
      <c r="I79" s="109"/>
      <c r="J79" s="108"/>
      <c r="K79" s="108"/>
      <c r="L79" s="108"/>
      <c r="M79" s="108"/>
      <c r="N79" s="108"/>
      <c r="O79" s="108"/>
    </row>
    <row r="80" spans="1:15" ht="15.75">
      <c r="A80" s="696"/>
      <c r="B80" s="697"/>
      <c r="C80" s="109" t="s">
        <v>277</v>
      </c>
      <c r="D80" s="109"/>
      <c r="E80" s="109"/>
      <c r="F80" s="109"/>
      <c r="G80" s="109"/>
      <c r="H80" s="109"/>
      <c r="I80" s="109"/>
      <c r="J80" s="108"/>
      <c r="K80" s="108"/>
      <c r="L80" s="108"/>
      <c r="M80" s="108"/>
      <c r="N80" s="108"/>
      <c r="O80" s="108"/>
    </row>
    <row r="81" spans="1:15" ht="15.75">
      <c r="A81" s="696"/>
      <c r="B81" s="697"/>
      <c r="C81" s="109" t="s">
        <v>278</v>
      </c>
      <c r="D81" s="109"/>
      <c r="E81" s="109"/>
      <c r="F81" s="109"/>
      <c r="G81" s="109"/>
      <c r="H81" s="109"/>
      <c r="I81" s="109"/>
      <c r="J81" s="108"/>
      <c r="K81" s="108"/>
      <c r="L81" s="108"/>
      <c r="M81" s="108"/>
      <c r="N81" s="108"/>
      <c r="O81" s="108"/>
    </row>
    <row r="82" spans="1:15" ht="18.75">
      <c r="A82" s="696"/>
      <c r="B82" s="697"/>
      <c r="C82" s="109" t="s">
        <v>388</v>
      </c>
      <c r="D82" s="109"/>
      <c r="E82" s="109"/>
      <c r="F82" s="109"/>
      <c r="G82" s="109"/>
      <c r="H82" s="109"/>
      <c r="I82" s="109"/>
      <c r="J82" s="108"/>
      <c r="K82" s="108"/>
      <c r="L82" s="108"/>
      <c r="M82" s="108"/>
      <c r="N82" s="108"/>
      <c r="O82" s="108"/>
    </row>
    <row r="83" spans="1:15" ht="15.75">
      <c r="A83" s="696" t="s">
        <v>380</v>
      </c>
      <c r="B83" s="697" t="s">
        <v>298</v>
      </c>
      <c r="C83" s="109" t="s">
        <v>424</v>
      </c>
      <c r="D83" s="109"/>
      <c r="E83" s="109"/>
      <c r="F83" s="109"/>
      <c r="G83" s="109"/>
      <c r="H83" s="109"/>
      <c r="I83" s="109"/>
      <c r="J83" s="108"/>
      <c r="K83" s="108"/>
      <c r="L83" s="108"/>
      <c r="M83" s="108"/>
      <c r="N83" s="108"/>
      <c r="O83" s="108"/>
    </row>
    <row r="84" spans="1:15" ht="15.75">
      <c r="A84" s="696"/>
      <c r="B84" s="697"/>
      <c r="C84" s="109" t="s">
        <v>277</v>
      </c>
      <c r="D84" s="109"/>
      <c r="E84" s="109"/>
      <c r="F84" s="109"/>
      <c r="G84" s="109"/>
      <c r="H84" s="109"/>
      <c r="I84" s="109"/>
      <c r="J84" s="108"/>
      <c r="K84" s="108"/>
      <c r="L84" s="108"/>
      <c r="M84" s="108"/>
      <c r="N84" s="108"/>
      <c r="O84" s="108"/>
    </row>
    <row r="85" spans="1:15" ht="15.75">
      <c r="A85" s="696"/>
      <c r="B85" s="697"/>
      <c r="C85" s="109" t="s">
        <v>278</v>
      </c>
      <c r="D85" s="109"/>
      <c r="E85" s="109"/>
      <c r="F85" s="109"/>
      <c r="G85" s="109"/>
      <c r="H85" s="109"/>
      <c r="I85" s="109"/>
      <c r="J85" s="108"/>
      <c r="K85" s="108"/>
      <c r="L85" s="108"/>
      <c r="M85" s="108"/>
      <c r="N85" s="108"/>
      <c r="O85" s="108"/>
    </row>
    <row r="86" spans="1:15" ht="20.25" customHeight="1">
      <c r="A86" s="696"/>
      <c r="B86" s="697"/>
      <c r="C86" s="109" t="s">
        <v>388</v>
      </c>
      <c r="D86" s="109"/>
      <c r="E86" s="109"/>
      <c r="F86" s="109"/>
      <c r="G86" s="109"/>
      <c r="H86" s="109"/>
      <c r="I86" s="109"/>
      <c r="J86" s="108"/>
      <c r="K86" s="108"/>
      <c r="L86" s="108"/>
      <c r="M86" s="108"/>
      <c r="N86" s="108"/>
      <c r="O86" s="108"/>
    </row>
    <row r="87" spans="1:15" ht="89.25" customHeight="1">
      <c r="A87" s="112" t="s">
        <v>286</v>
      </c>
      <c r="B87" s="117" t="s">
        <v>422</v>
      </c>
      <c r="C87" s="109" t="s">
        <v>368</v>
      </c>
      <c r="D87" s="109" t="s">
        <v>368</v>
      </c>
      <c r="E87" s="109" t="s">
        <v>368</v>
      </c>
      <c r="F87" s="109" t="s">
        <v>368</v>
      </c>
      <c r="G87" s="109" t="s">
        <v>368</v>
      </c>
      <c r="H87" s="109" t="s">
        <v>368</v>
      </c>
      <c r="I87" s="109" t="s">
        <v>368</v>
      </c>
      <c r="J87" s="109" t="s">
        <v>368</v>
      </c>
      <c r="K87" s="109" t="s">
        <v>368</v>
      </c>
      <c r="L87" s="109" t="s">
        <v>368</v>
      </c>
      <c r="M87" s="109" t="s">
        <v>368</v>
      </c>
      <c r="N87" s="109" t="s">
        <v>368</v>
      </c>
      <c r="O87" s="109" t="s">
        <v>368</v>
      </c>
    </row>
    <row r="88" spans="1:15" ht="50.25" customHeight="1">
      <c r="A88" s="696" t="s">
        <v>291</v>
      </c>
      <c r="B88" s="697" t="s">
        <v>383</v>
      </c>
      <c r="C88" s="109" t="s">
        <v>283</v>
      </c>
      <c r="D88" s="109"/>
      <c r="E88" s="109"/>
      <c r="F88" s="109"/>
      <c r="G88" s="109"/>
      <c r="H88" s="109"/>
      <c r="I88" s="109"/>
      <c r="J88" s="109"/>
      <c r="K88" s="109"/>
      <c r="L88" s="109"/>
      <c r="M88" s="109"/>
      <c r="N88" s="109"/>
      <c r="O88" s="109"/>
    </row>
    <row r="89" spans="1:15" ht="40.5" customHeight="1">
      <c r="A89" s="696"/>
      <c r="B89" s="697"/>
      <c r="C89" s="109" t="s">
        <v>282</v>
      </c>
      <c r="D89" s="109"/>
      <c r="E89" s="109"/>
      <c r="F89" s="109"/>
      <c r="G89" s="109"/>
      <c r="H89" s="109"/>
      <c r="I89" s="109"/>
      <c r="J89" s="109"/>
      <c r="K89" s="109"/>
      <c r="L89" s="109"/>
      <c r="M89" s="109"/>
      <c r="N89" s="109"/>
      <c r="O89" s="109"/>
    </row>
    <row r="90" spans="1:15" ht="33.75" customHeight="1">
      <c r="A90" s="696" t="s">
        <v>338</v>
      </c>
      <c r="B90" s="697" t="s">
        <v>281</v>
      </c>
      <c r="C90" s="109" t="s">
        <v>283</v>
      </c>
      <c r="D90" s="109"/>
      <c r="E90" s="109"/>
      <c r="F90" s="109"/>
      <c r="G90" s="109"/>
      <c r="H90" s="109"/>
      <c r="I90" s="109"/>
      <c r="J90" s="109"/>
      <c r="K90" s="109"/>
      <c r="L90" s="109"/>
      <c r="M90" s="109"/>
      <c r="N90" s="109"/>
      <c r="O90" s="109"/>
    </row>
    <row r="91" spans="1:15" ht="25.5" customHeight="1">
      <c r="A91" s="696"/>
      <c r="B91" s="697"/>
      <c r="C91" s="109" t="s">
        <v>282</v>
      </c>
      <c r="D91" s="109"/>
      <c r="E91" s="109"/>
      <c r="F91" s="109"/>
      <c r="G91" s="109"/>
      <c r="H91" s="109"/>
      <c r="I91" s="109"/>
      <c r="J91" s="109"/>
      <c r="K91" s="109"/>
      <c r="L91" s="109"/>
      <c r="M91" s="109"/>
      <c r="N91" s="109"/>
      <c r="O91" s="109"/>
    </row>
    <row r="92" spans="1:15" ht="25.5" customHeight="1">
      <c r="A92" s="696" t="s">
        <v>339</v>
      </c>
      <c r="B92" s="697" t="s">
        <v>296</v>
      </c>
      <c r="C92" s="109" t="s">
        <v>283</v>
      </c>
      <c r="D92" s="109"/>
      <c r="E92" s="109"/>
      <c r="F92" s="109"/>
      <c r="G92" s="109"/>
      <c r="H92" s="109"/>
      <c r="I92" s="109"/>
      <c r="J92" s="109"/>
      <c r="K92" s="109"/>
      <c r="L92" s="109"/>
      <c r="M92" s="109"/>
      <c r="N92" s="109"/>
      <c r="O92" s="109"/>
    </row>
    <row r="93" spans="1:15" ht="24" customHeight="1">
      <c r="A93" s="696"/>
      <c r="B93" s="697"/>
      <c r="C93" s="109" t="s">
        <v>282</v>
      </c>
      <c r="D93" s="109"/>
      <c r="E93" s="109"/>
      <c r="F93" s="109"/>
      <c r="G93" s="109"/>
      <c r="H93" s="109"/>
      <c r="I93" s="109"/>
      <c r="J93" s="109"/>
      <c r="K93" s="109"/>
      <c r="L93" s="109"/>
      <c r="M93" s="109"/>
      <c r="N93" s="109"/>
      <c r="O93" s="109"/>
    </row>
    <row r="94" spans="1:15" ht="25.5" customHeight="1">
      <c r="A94" s="696" t="s">
        <v>340</v>
      </c>
      <c r="B94" s="697" t="s">
        <v>297</v>
      </c>
      <c r="C94" s="109" t="s">
        <v>283</v>
      </c>
      <c r="D94" s="109"/>
      <c r="E94" s="109"/>
      <c r="F94" s="109"/>
      <c r="G94" s="109"/>
      <c r="H94" s="109"/>
      <c r="I94" s="109"/>
      <c r="J94" s="109"/>
      <c r="K94" s="109"/>
      <c r="L94" s="109"/>
      <c r="M94" s="109"/>
      <c r="N94" s="109"/>
      <c r="O94" s="109"/>
    </row>
    <row r="95" spans="1:15" ht="27.75" customHeight="1">
      <c r="A95" s="696"/>
      <c r="B95" s="697"/>
      <c r="C95" s="109" t="s">
        <v>282</v>
      </c>
      <c r="D95" s="109"/>
      <c r="E95" s="109"/>
      <c r="F95" s="109"/>
      <c r="G95" s="109"/>
      <c r="H95" s="109"/>
      <c r="I95" s="109"/>
      <c r="J95" s="109"/>
      <c r="K95" s="109"/>
      <c r="L95" s="109"/>
      <c r="M95" s="109"/>
      <c r="N95" s="109"/>
      <c r="O95" s="109"/>
    </row>
    <row r="96" spans="1:15" ht="28.5" customHeight="1">
      <c r="A96" s="696" t="s">
        <v>341</v>
      </c>
      <c r="B96" s="697" t="s">
        <v>298</v>
      </c>
      <c r="C96" s="109" t="s">
        <v>283</v>
      </c>
      <c r="D96" s="109"/>
      <c r="E96" s="109"/>
      <c r="F96" s="109"/>
      <c r="G96" s="109"/>
      <c r="H96" s="109"/>
      <c r="I96" s="109"/>
      <c r="J96" s="109"/>
      <c r="K96" s="109"/>
      <c r="L96" s="109"/>
      <c r="M96" s="109"/>
      <c r="N96" s="109"/>
      <c r="O96" s="109"/>
    </row>
    <row r="97" spans="1:15" ht="28.5" customHeight="1">
      <c r="A97" s="696"/>
      <c r="B97" s="697"/>
      <c r="C97" s="109" t="s">
        <v>282</v>
      </c>
      <c r="D97" s="109"/>
      <c r="E97" s="109"/>
      <c r="F97" s="109"/>
      <c r="G97" s="109"/>
      <c r="H97" s="109"/>
      <c r="I97" s="109"/>
      <c r="J97" s="109"/>
      <c r="K97" s="109"/>
      <c r="L97" s="109"/>
      <c r="M97" s="109"/>
      <c r="N97" s="109"/>
      <c r="O97" s="109"/>
    </row>
    <row r="98" spans="1:15" ht="47.25" customHeight="1">
      <c r="A98" s="696" t="s">
        <v>292</v>
      </c>
      <c r="B98" s="697" t="s">
        <v>299</v>
      </c>
      <c r="C98" s="109" t="s">
        <v>283</v>
      </c>
      <c r="D98" s="109"/>
      <c r="E98" s="109"/>
      <c r="F98" s="109"/>
      <c r="G98" s="109"/>
      <c r="H98" s="109"/>
      <c r="I98" s="109"/>
      <c r="J98" s="109"/>
      <c r="K98" s="109"/>
      <c r="L98" s="109"/>
      <c r="M98" s="109"/>
      <c r="N98" s="109"/>
      <c r="O98" s="109"/>
    </row>
    <row r="99" spans="1:15" ht="44.25" customHeight="1">
      <c r="A99" s="696"/>
      <c r="B99" s="697"/>
      <c r="C99" s="109" t="s">
        <v>282</v>
      </c>
      <c r="D99" s="109"/>
      <c r="E99" s="109"/>
      <c r="F99" s="109"/>
      <c r="G99" s="109"/>
      <c r="H99" s="109"/>
      <c r="I99" s="109"/>
      <c r="J99" s="109"/>
      <c r="K99" s="109"/>
      <c r="L99" s="109"/>
      <c r="M99" s="109"/>
      <c r="N99" s="109"/>
      <c r="O99" s="109"/>
    </row>
    <row r="100" spans="1:15" ht="25.5" customHeight="1">
      <c r="A100" s="696" t="s">
        <v>342</v>
      </c>
      <c r="B100" s="697" t="s">
        <v>281</v>
      </c>
      <c r="C100" s="109" t="s">
        <v>283</v>
      </c>
      <c r="D100" s="109"/>
      <c r="E100" s="109"/>
      <c r="F100" s="109"/>
      <c r="G100" s="109"/>
      <c r="H100" s="109"/>
      <c r="I100" s="109"/>
      <c r="J100" s="109"/>
      <c r="K100" s="109"/>
      <c r="L100" s="109"/>
      <c r="M100" s="109"/>
      <c r="N100" s="109"/>
      <c r="O100" s="109"/>
    </row>
    <row r="101" spans="1:15" ht="24.75" customHeight="1">
      <c r="A101" s="696"/>
      <c r="B101" s="697"/>
      <c r="C101" s="109" t="s">
        <v>282</v>
      </c>
      <c r="D101" s="109"/>
      <c r="E101" s="109"/>
      <c r="F101" s="109"/>
      <c r="G101" s="109"/>
      <c r="H101" s="109"/>
      <c r="I101" s="109"/>
      <c r="J101" s="109"/>
      <c r="K101" s="109"/>
      <c r="L101" s="109"/>
      <c r="M101" s="109"/>
      <c r="N101" s="109"/>
      <c r="O101" s="109"/>
    </row>
    <row r="102" spans="1:15" ht="24" customHeight="1">
      <c r="A102" s="696" t="s">
        <v>343</v>
      </c>
      <c r="B102" s="697" t="s">
        <v>296</v>
      </c>
      <c r="C102" s="109" t="s">
        <v>283</v>
      </c>
      <c r="D102" s="109"/>
      <c r="E102" s="109"/>
      <c r="F102" s="109"/>
      <c r="G102" s="109"/>
      <c r="H102" s="109"/>
      <c r="I102" s="109"/>
      <c r="J102" s="109"/>
      <c r="K102" s="109"/>
      <c r="L102" s="109"/>
      <c r="M102" s="109"/>
      <c r="N102" s="109"/>
      <c r="O102" s="109"/>
    </row>
    <row r="103" spans="1:15" ht="24" customHeight="1">
      <c r="A103" s="696"/>
      <c r="B103" s="697"/>
      <c r="C103" s="109" t="s">
        <v>282</v>
      </c>
      <c r="D103" s="109"/>
      <c r="E103" s="109"/>
      <c r="F103" s="109"/>
      <c r="G103" s="109"/>
      <c r="H103" s="109"/>
      <c r="I103" s="109"/>
      <c r="J103" s="109"/>
      <c r="K103" s="109"/>
      <c r="L103" s="109"/>
      <c r="M103" s="109"/>
      <c r="N103" s="109"/>
      <c r="O103" s="109"/>
    </row>
    <row r="104" spans="1:15" ht="30" customHeight="1">
      <c r="A104" s="696" t="s">
        <v>344</v>
      </c>
      <c r="B104" s="697" t="s">
        <v>297</v>
      </c>
      <c r="C104" s="109" t="s">
        <v>283</v>
      </c>
      <c r="D104" s="109"/>
      <c r="E104" s="109"/>
      <c r="F104" s="109"/>
      <c r="G104" s="109"/>
      <c r="H104" s="109"/>
      <c r="I104" s="109"/>
      <c r="J104" s="109"/>
      <c r="K104" s="109"/>
      <c r="L104" s="109"/>
      <c r="M104" s="109"/>
      <c r="N104" s="109"/>
      <c r="O104" s="109"/>
    </row>
    <row r="105" spans="1:15" ht="30" customHeight="1">
      <c r="A105" s="696"/>
      <c r="B105" s="697"/>
      <c r="C105" s="109" t="s">
        <v>282</v>
      </c>
      <c r="D105" s="109"/>
      <c r="E105" s="109"/>
      <c r="F105" s="109"/>
      <c r="G105" s="109"/>
      <c r="H105" s="109"/>
      <c r="I105" s="109"/>
      <c r="J105" s="109"/>
      <c r="K105" s="109"/>
      <c r="L105" s="109"/>
      <c r="M105" s="109"/>
      <c r="N105" s="109"/>
      <c r="O105" s="109"/>
    </row>
    <row r="106" spans="1:15" ht="42.75" customHeight="1">
      <c r="A106" s="696" t="s">
        <v>345</v>
      </c>
      <c r="B106" s="697" t="s">
        <v>298</v>
      </c>
      <c r="C106" s="109" t="s">
        <v>283</v>
      </c>
      <c r="D106" s="109"/>
      <c r="E106" s="109"/>
      <c r="F106" s="109"/>
      <c r="G106" s="109"/>
      <c r="H106" s="109"/>
      <c r="I106" s="109"/>
      <c r="J106" s="109"/>
      <c r="K106" s="109"/>
      <c r="L106" s="109"/>
      <c r="M106" s="109"/>
      <c r="N106" s="109"/>
      <c r="O106" s="109"/>
    </row>
    <row r="107" spans="1:15" ht="31.5" customHeight="1">
      <c r="A107" s="696"/>
      <c r="B107" s="697"/>
      <c r="C107" s="109" t="s">
        <v>282</v>
      </c>
      <c r="D107" s="109"/>
      <c r="E107" s="109"/>
      <c r="F107" s="109"/>
      <c r="G107" s="109"/>
      <c r="H107" s="109"/>
      <c r="I107" s="109"/>
      <c r="J107" s="109"/>
      <c r="K107" s="109"/>
      <c r="L107" s="109"/>
      <c r="M107" s="109"/>
      <c r="N107" s="109"/>
      <c r="O107" s="109"/>
    </row>
    <row r="108" spans="1:15" ht="36" customHeight="1">
      <c r="A108" s="696" t="s">
        <v>293</v>
      </c>
      <c r="B108" s="697" t="s">
        <v>300</v>
      </c>
      <c r="C108" s="109" t="s">
        <v>283</v>
      </c>
      <c r="D108" s="109"/>
      <c r="E108" s="109"/>
      <c r="F108" s="109"/>
      <c r="G108" s="109"/>
      <c r="H108" s="109"/>
      <c r="I108" s="109"/>
      <c r="J108" s="109"/>
      <c r="K108" s="109"/>
      <c r="L108" s="109"/>
      <c r="M108" s="109"/>
      <c r="N108" s="109"/>
      <c r="O108" s="109"/>
    </row>
    <row r="109" spans="1:15" ht="35.25" customHeight="1">
      <c r="A109" s="696"/>
      <c r="B109" s="697"/>
      <c r="C109" s="109" t="s">
        <v>282</v>
      </c>
      <c r="D109" s="109"/>
      <c r="E109" s="109"/>
      <c r="F109" s="109"/>
      <c r="G109" s="109"/>
      <c r="H109" s="109"/>
      <c r="I109" s="109"/>
      <c r="J109" s="109"/>
      <c r="K109" s="109"/>
      <c r="L109" s="109"/>
      <c r="M109" s="109"/>
      <c r="N109" s="109"/>
      <c r="O109" s="109"/>
    </row>
    <row r="110" spans="1:15" ht="24" customHeight="1">
      <c r="A110" s="696" t="s">
        <v>346</v>
      </c>
      <c r="B110" s="697" t="s">
        <v>281</v>
      </c>
      <c r="C110" s="109" t="s">
        <v>283</v>
      </c>
      <c r="D110" s="109"/>
      <c r="E110" s="109"/>
      <c r="F110" s="109"/>
      <c r="G110" s="109"/>
      <c r="H110" s="109"/>
      <c r="I110" s="109"/>
      <c r="J110" s="109"/>
      <c r="K110" s="109"/>
      <c r="L110" s="109"/>
      <c r="M110" s="109"/>
      <c r="N110" s="109"/>
      <c r="O110" s="109"/>
    </row>
    <row r="111" spans="1:15" ht="24.75" customHeight="1">
      <c r="A111" s="696"/>
      <c r="B111" s="697"/>
      <c r="C111" s="109" t="s">
        <v>282</v>
      </c>
      <c r="D111" s="109"/>
      <c r="E111" s="109"/>
      <c r="F111" s="109"/>
      <c r="G111" s="109"/>
      <c r="H111" s="109"/>
      <c r="I111" s="109"/>
      <c r="J111" s="109"/>
      <c r="K111" s="109"/>
      <c r="L111" s="109"/>
      <c r="M111" s="109"/>
      <c r="N111" s="109"/>
      <c r="O111" s="109"/>
    </row>
    <row r="112" spans="1:15" ht="25.5" customHeight="1">
      <c r="A112" s="696" t="s">
        <v>347</v>
      </c>
      <c r="B112" s="697" t="s">
        <v>296</v>
      </c>
      <c r="C112" s="109" t="s">
        <v>283</v>
      </c>
      <c r="D112" s="109"/>
      <c r="E112" s="109"/>
      <c r="F112" s="109"/>
      <c r="G112" s="109"/>
      <c r="H112" s="109"/>
      <c r="I112" s="109"/>
      <c r="J112" s="109"/>
      <c r="K112" s="109"/>
      <c r="L112" s="109"/>
      <c r="M112" s="109"/>
      <c r="N112" s="109"/>
      <c r="O112" s="109"/>
    </row>
    <row r="113" spans="1:15" ht="24.75" customHeight="1">
      <c r="A113" s="696"/>
      <c r="B113" s="697"/>
      <c r="C113" s="109" t="s">
        <v>282</v>
      </c>
      <c r="D113" s="109"/>
      <c r="E113" s="109"/>
      <c r="F113" s="109"/>
      <c r="G113" s="109"/>
      <c r="H113" s="109"/>
      <c r="I113" s="109"/>
      <c r="J113" s="109"/>
      <c r="K113" s="109"/>
      <c r="L113" s="109"/>
      <c r="M113" s="109"/>
      <c r="N113" s="109"/>
      <c r="O113" s="109"/>
    </row>
    <row r="114" spans="1:15" ht="28.5" customHeight="1">
      <c r="A114" s="696" t="s">
        <v>348</v>
      </c>
      <c r="B114" s="697" t="s">
        <v>297</v>
      </c>
      <c r="C114" s="109" t="s">
        <v>283</v>
      </c>
      <c r="D114" s="109"/>
      <c r="E114" s="109"/>
      <c r="F114" s="109"/>
      <c r="G114" s="109"/>
      <c r="H114" s="109"/>
      <c r="I114" s="109"/>
      <c r="J114" s="109"/>
      <c r="K114" s="109"/>
      <c r="L114" s="109"/>
      <c r="M114" s="109"/>
      <c r="N114" s="109"/>
      <c r="O114" s="109"/>
    </row>
    <row r="115" spans="1:15" ht="31.5" customHeight="1">
      <c r="A115" s="696"/>
      <c r="B115" s="697"/>
      <c r="C115" s="109" t="s">
        <v>282</v>
      </c>
      <c r="D115" s="109"/>
      <c r="E115" s="109"/>
      <c r="F115" s="109"/>
      <c r="G115" s="109"/>
      <c r="H115" s="109"/>
      <c r="I115" s="109"/>
      <c r="J115" s="109"/>
      <c r="K115" s="109"/>
      <c r="L115" s="109"/>
      <c r="M115" s="109"/>
      <c r="N115" s="109"/>
      <c r="O115" s="109"/>
    </row>
    <row r="116" spans="1:15" ht="18.75">
      <c r="A116" s="696" t="s">
        <v>349</v>
      </c>
      <c r="B116" s="697" t="s">
        <v>298</v>
      </c>
      <c r="C116" s="109" t="s">
        <v>283</v>
      </c>
      <c r="D116" s="109"/>
      <c r="E116" s="109"/>
      <c r="F116" s="109"/>
      <c r="G116" s="109"/>
      <c r="H116" s="109"/>
      <c r="I116" s="109"/>
      <c r="J116" s="109"/>
      <c r="K116" s="109"/>
      <c r="L116" s="109"/>
      <c r="M116" s="109"/>
      <c r="N116" s="109"/>
      <c r="O116" s="109"/>
    </row>
    <row r="117" spans="1:15" ht="38.25" customHeight="1">
      <c r="A117" s="696"/>
      <c r="B117" s="697"/>
      <c r="C117" s="109" t="s">
        <v>282</v>
      </c>
      <c r="D117" s="109"/>
      <c r="E117" s="109"/>
      <c r="F117" s="109"/>
      <c r="G117" s="109"/>
      <c r="H117" s="109"/>
      <c r="I117" s="109"/>
      <c r="J117" s="108"/>
      <c r="K117" s="108"/>
      <c r="L117" s="108"/>
      <c r="M117" s="108"/>
      <c r="N117" s="108"/>
      <c r="O117" s="108"/>
    </row>
    <row r="118" spans="1:15" ht="90" customHeight="1">
      <c r="A118" s="112" t="s">
        <v>294</v>
      </c>
      <c r="B118" s="108" t="s">
        <v>386</v>
      </c>
      <c r="C118" s="109" t="s">
        <v>387</v>
      </c>
      <c r="D118" s="109"/>
      <c r="E118" s="109"/>
      <c r="F118" s="109"/>
      <c r="G118" s="109"/>
      <c r="H118" s="109"/>
      <c r="I118" s="109"/>
      <c r="J118" s="108"/>
      <c r="K118" s="108"/>
      <c r="L118" s="108"/>
      <c r="M118" s="108"/>
      <c r="N118" s="108"/>
      <c r="O118" s="108"/>
    </row>
    <row r="119" spans="1:15" ht="38.25" customHeight="1">
      <c r="A119" s="112" t="s">
        <v>350</v>
      </c>
      <c r="B119" s="108" t="s">
        <v>301</v>
      </c>
      <c r="C119" s="109" t="s">
        <v>387</v>
      </c>
      <c r="D119" s="109"/>
      <c r="E119" s="109"/>
      <c r="F119" s="109"/>
      <c r="G119" s="109"/>
      <c r="H119" s="109"/>
      <c r="I119" s="109"/>
      <c r="J119" s="108"/>
      <c r="K119" s="108"/>
      <c r="L119" s="108"/>
      <c r="M119" s="108"/>
      <c r="N119" s="108"/>
      <c r="O119" s="108"/>
    </row>
    <row r="120" spans="1:15" ht="60.75" customHeight="1">
      <c r="A120" s="112" t="s">
        <v>351</v>
      </c>
      <c r="B120" s="108" t="s">
        <v>302</v>
      </c>
      <c r="C120" s="109" t="s">
        <v>387</v>
      </c>
      <c r="D120" s="109"/>
      <c r="E120" s="109"/>
      <c r="F120" s="109"/>
      <c r="G120" s="109"/>
      <c r="H120" s="109"/>
      <c r="I120" s="109"/>
      <c r="J120" s="108"/>
      <c r="K120" s="108"/>
      <c r="L120" s="108"/>
      <c r="M120" s="108"/>
      <c r="N120" s="108"/>
      <c r="O120" s="108"/>
    </row>
    <row r="121" spans="1:15" ht="55.5" customHeight="1">
      <c r="A121" s="112" t="s">
        <v>352</v>
      </c>
      <c r="B121" s="108" t="s">
        <v>303</v>
      </c>
      <c r="C121" s="109" t="s">
        <v>387</v>
      </c>
      <c r="D121" s="109"/>
      <c r="E121" s="109"/>
      <c r="F121" s="109"/>
      <c r="G121" s="109"/>
      <c r="H121" s="109"/>
      <c r="I121" s="109"/>
      <c r="J121" s="108"/>
      <c r="K121" s="108"/>
      <c r="L121" s="108"/>
      <c r="M121" s="108"/>
      <c r="N121" s="108"/>
      <c r="O121" s="108"/>
    </row>
    <row r="122" spans="1:15" ht="42" customHeight="1">
      <c r="A122" s="112" t="s">
        <v>353</v>
      </c>
      <c r="B122" s="108" t="s">
        <v>304</v>
      </c>
      <c r="C122" s="109" t="s">
        <v>387</v>
      </c>
      <c r="D122" s="109"/>
      <c r="E122" s="109"/>
      <c r="F122" s="109"/>
      <c r="G122" s="109"/>
      <c r="H122" s="109"/>
      <c r="I122" s="109"/>
      <c r="J122" s="108"/>
      <c r="K122" s="108"/>
      <c r="L122" s="108"/>
      <c r="M122" s="108"/>
      <c r="N122" s="108"/>
      <c r="O122" s="108"/>
    </row>
    <row r="123" spans="1:15" ht="24" customHeight="1">
      <c r="A123" s="696" t="s">
        <v>354</v>
      </c>
      <c r="B123" s="697" t="s">
        <v>385</v>
      </c>
      <c r="C123" s="109" t="s">
        <v>424</v>
      </c>
      <c r="D123" s="109"/>
      <c r="E123" s="109"/>
      <c r="F123" s="109"/>
      <c r="G123" s="109"/>
      <c r="H123" s="109"/>
      <c r="I123" s="109"/>
      <c r="J123" s="108"/>
      <c r="K123" s="108"/>
      <c r="L123" s="108"/>
      <c r="M123" s="108"/>
      <c r="N123" s="108"/>
      <c r="O123" s="108"/>
    </row>
    <row r="124" spans="1:15" ht="28.5" customHeight="1">
      <c r="A124" s="696"/>
      <c r="B124" s="697"/>
      <c r="C124" s="109" t="s">
        <v>277</v>
      </c>
      <c r="D124" s="109"/>
      <c r="E124" s="109"/>
      <c r="F124" s="109"/>
      <c r="G124" s="109"/>
      <c r="H124" s="109"/>
      <c r="I124" s="109"/>
      <c r="J124" s="108"/>
      <c r="K124" s="108"/>
      <c r="L124" s="108"/>
      <c r="M124" s="108"/>
      <c r="N124" s="108"/>
      <c r="O124" s="108"/>
    </row>
    <row r="125" spans="1:15" ht="26.25" customHeight="1">
      <c r="A125" s="696"/>
      <c r="B125" s="697"/>
      <c r="C125" s="109" t="s">
        <v>278</v>
      </c>
      <c r="D125" s="109"/>
      <c r="E125" s="109"/>
      <c r="F125" s="109"/>
      <c r="G125" s="109"/>
      <c r="H125" s="109"/>
      <c r="I125" s="109"/>
      <c r="J125" s="108"/>
      <c r="K125" s="108"/>
      <c r="L125" s="108"/>
      <c r="M125" s="108"/>
      <c r="N125" s="108"/>
      <c r="O125" s="108"/>
    </row>
    <row r="126" spans="1:15" ht="28.5" customHeight="1">
      <c r="A126" s="696"/>
      <c r="B126" s="697"/>
      <c r="C126" s="109" t="s">
        <v>388</v>
      </c>
      <c r="D126" s="109"/>
      <c r="E126" s="109"/>
      <c r="F126" s="109"/>
      <c r="G126" s="109"/>
      <c r="H126" s="109"/>
      <c r="I126" s="109"/>
      <c r="J126" s="108"/>
      <c r="K126" s="108"/>
      <c r="L126" s="108"/>
      <c r="M126" s="108"/>
      <c r="N126" s="108"/>
      <c r="O126" s="108"/>
    </row>
    <row r="127" spans="1:15" ht="15.75">
      <c r="A127" s="696" t="s">
        <v>355</v>
      </c>
      <c r="B127" s="697" t="s">
        <v>296</v>
      </c>
      <c r="C127" s="109" t="s">
        <v>424</v>
      </c>
      <c r="D127" s="109"/>
      <c r="E127" s="109"/>
      <c r="F127" s="109"/>
      <c r="G127" s="109"/>
      <c r="H127" s="109"/>
      <c r="I127" s="109"/>
      <c r="J127" s="108"/>
      <c r="K127" s="108"/>
      <c r="L127" s="108"/>
      <c r="M127" s="108"/>
      <c r="N127" s="108"/>
      <c r="O127" s="108"/>
    </row>
    <row r="128" spans="1:15" ht="15.75">
      <c r="A128" s="696"/>
      <c r="B128" s="697"/>
      <c r="C128" s="109" t="s">
        <v>277</v>
      </c>
      <c r="D128" s="109"/>
      <c r="E128" s="109"/>
      <c r="F128" s="109"/>
      <c r="G128" s="109"/>
      <c r="H128" s="109"/>
      <c r="I128" s="109"/>
      <c r="J128" s="108"/>
      <c r="K128" s="108"/>
      <c r="L128" s="108"/>
      <c r="M128" s="108"/>
      <c r="N128" s="108"/>
      <c r="O128" s="108"/>
    </row>
    <row r="129" spans="1:15" ht="15.75">
      <c r="A129" s="696"/>
      <c r="B129" s="697"/>
      <c r="C129" s="109" t="s">
        <v>278</v>
      </c>
      <c r="D129" s="109"/>
      <c r="E129" s="109"/>
      <c r="F129" s="109"/>
      <c r="G129" s="109"/>
      <c r="H129" s="109"/>
      <c r="I129" s="109"/>
      <c r="J129" s="108"/>
      <c r="K129" s="108"/>
      <c r="L129" s="108"/>
      <c r="M129" s="108"/>
      <c r="N129" s="108"/>
      <c r="O129" s="108"/>
    </row>
    <row r="130" spans="1:15" ht="18.75">
      <c r="A130" s="696"/>
      <c r="B130" s="697"/>
      <c r="C130" s="109" t="s">
        <v>388</v>
      </c>
      <c r="D130" s="109"/>
      <c r="E130" s="109"/>
      <c r="F130" s="109"/>
      <c r="G130" s="109"/>
      <c r="H130" s="109"/>
      <c r="I130" s="109"/>
      <c r="J130" s="108"/>
      <c r="K130" s="108"/>
      <c r="L130" s="108"/>
      <c r="M130" s="108"/>
      <c r="N130" s="108"/>
      <c r="O130" s="108"/>
    </row>
    <row r="131" spans="1:15" ht="15.75">
      <c r="A131" s="696" t="s">
        <v>356</v>
      </c>
      <c r="B131" s="697" t="s">
        <v>297</v>
      </c>
      <c r="C131" s="109" t="s">
        <v>424</v>
      </c>
      <c r="D131" s="109"/>
      <c r="E131" s="109"/>
      <c r="F131" s="109"/>
      <c r="G131" s="109"/>
      <c r="H131" s="109"/>
      <c r="I131" s="109"/>
      <c r="J131" s="108"/>
      <c r="K131" s="108"/>
      <c r="L131" s="108"/>
      <c r="M131" s="108"/>
      <c r="N131" s="108"/>
      <c r="O131" s="108"/>
    </row>
    <row r="132" spans="1:15" ht="15.75">
      <c r="A132" s="696"/>
      <c r="B132" s="697"/>
      <c r="C132" s="109" t="s">
        <v>277</v>
      </c>
      <c r="D132" s="109"/>
      <c r="E132" s="109"/>
      <c r="F132" s="109"/>
      <c r="G132" s="109"/>
      <c r="H132" s="109"/>
      <c r="I132" s="109"/>
      <c r="J132" s="108"/>
      <c r="K132" s="108"/>
      <c r="L132" s="108"/>
      <c r="M132" s="108"/>
      <c r="N132" s="108"/>
      <c r="O132" s="108"/>
    </row>
    <row r="133" spans="1:15" ht="15.75" customHeight="1">
      <c r="A133" s="696"/>
      <c r="B133" s="697"/>
      <c r="C133" s="109" t="s">
        <v>278</v>
      </c>
      <c r="D133" s="109"/>
      <c r="E133" s="109"/>
      <c r="F133" s="109"/>
      <c r="G133" s="109"/>
      <c r="H133" s="109"/>
      <c r="I133" s="109"/>
      <c r="J133" s="108"/>
      <c r="K133" s="108"/>
      <c r="L133" s="108"/>
      <c r="M133" s="108"/>
      <c r="N133" s="108"/>
      <c r="O133" s="108"/>
    </row>
    <row r="134" spans="1:15" ht="18.75">
      <c r="A134" s="696"/>
      <c r="B134" s="697"/>
      <c r="C134" s="109" t="s">
        <v>388</v>
      </c>
      <c r="D134" s="109"/>
      <c r="E134" s="109"/>
      <c r="F134" s="109"/>
      <c r="G134" s="109"/>
      <c r="H134" s="109"/>
      <c r="I134" s="109"/>
      <c r="J134" s="108"/>
      <c r="K134" s="108"/>
      <c r="L134" s="108"/>
      <c r="M134" s="108"/>
      <c r="N134" s="108"/>
      <c r="O134" s="108"/>
    </row>
    <row r="135" spans="1:15" ht="15.75">
      <c r="A135" s="696" t="s">
        <v>357</v>
      </c>
      <c r="B135" s="697" t="s">
        <v>298</v>
      </c>
      <c r="C135" s="109" t="s">
        <v>424</v>
      </c>
      <c r="D135" s="108"/>
      <c r="E135" s="108"/>
      <c r="F135" s="108"/>
      <c r="G135" s="108"/>
      <c r="H135" s="108"/>
      <c r="I135" s="108"/>
      <c r="J135" s="108"/>
      <c r="K135" s="108"/>
      <c r="L135" s="108"/>
      <c r="M135" s="108"/>
      <c r="N135" s="108"/>
      <c r="O135" s="108"/>
    </row>
    <row r="136" spans="1:15" ht="15.75">
      <c r="A136" s="696"/>
      <c r="B136" s="697"/>
      <c r="C136" s="109" t="s">
        <v>277</v>
      </c>
      <c r="D136" s="108"/>
      <c r="E136" s="108"/>
      <c r="F136" s="108"/>
      <c r="G136" s="108"/>
      <c r="H136" s="108"/>
      <c r="I136" s="108"/>
      <c r="J136" s="108"/>
      <c r="K136" s="108"/>
      <c r="L136" s="108"/>
      <c r="M136" s="108"/>
      <c r="N136" s="108"/>
      <c r="O136" s="108"/>
    </row>
    <row r="137" spans="1:15" ht="28.5" customHeight="1">
      <c r="A137" s="696"/>
      <c r="B137" s="697"/>
      <c r="C137" s="109" t="s">
        <v>278</v>
      </c>
      <c r="D137" s="108"/>
      <c r="E137" s="108"/>
      <c r="F137" s="108"/>
      <c r="G137" s="108"/>
      <c r="H137" s="108"/>
      <c r="I137" s="108"/>
      <c r="J137" s="108"/>
      <c r="K137" s="108"/>
      <c r="L137" s="108"/>
      <c r="M137" s="108"/>
      <c r="N137" s="108"/>
      <c r="O137" s="108"/>
    </row>
    <row r="138" spans="1:15" ht="25.5" customHeight="1">
      <c r="A138" s="696"/>
      <c r="B138" s="697"/>
      <c r="C138" s="109" t="s">
        <v>388</v>
      </c>
      <c r="D138" s="108"/>
      <c r="E138" s="108"/>
      <c r="F138" s="108"/>
      <c r="G138" s="108"/>
      <c r="H138" s="108"/>
      <c r="I138" s="108"/>
      <c r="J138" s="108"/>
      <c r="K138" s="108"/>
      <c r="L138" s="108"/>
      <c r="M138" s="108"/>
      <c r="N138" s="108"/>
      <c r="O138" s="108"/>
    </row>
    <row r="139" spans="1:15" ht="29.25" customHeight="1">
      <c r="A139" s="696" t="s">
        <v>358</v>
      </c>
      <c r="B139" s="697" t="s">
        <v>384</v>
      </c>
      <c r="C139" s="109" t="s">
        <v>424</v>
      </c>
      <c r="D139" s="109"/>
      <c r="E139" s="109"/>
      <c r="F139" s="109"/>
      <c r="G139" s="109"/>
      <c r="H139" s="109"/>
      <c r="I139" s="109"/>
      <c r="J139" s="108"/>
      <c r="K139" s="108"/>
      <c r="L139" s="108"/>
      <c r="M139" s="108"/>
      <c r="N139" s="108"/>
      <c r="O139" s="108"/>
    </row>
    <row r="140" spans="1:15" ht="28.5" customHeight="1">
      <c r="A140" s="696"/>
      <c r="B140" s="697"/>
      <c r="C140" s="109" t="s">
        <v>277</v>
      </c>
      <c r="D140" s="109"/>
      <c r="E140" s="109"/>
      <c r="F140" s="109"/>
      <c r="G140" s="109"/>
      <c r="H140" s="109"/>
      <c r="I140" s="109"/>
      <c r="J140" s="108"/>
      <c r="K140" s="108"/>
      <c r="L140" s="108"/>
      <c r="M140" s="108"/>
      <c r="N140" s="108"/>
      <c r="O140" s="108"/>
    </row>
    <row r="141" spans="1:15" ht="24" customHeight="1">
      <c r="A141" s="696"/>
      <c r="B141" s="697"/>
      <c r="C141" s="109" t="s">
        <v>278</v>
      </c>
      <c r="D141" s="109"/>
      <c r="E141" s="109"/>
      <c r="F141" s="109"/>
      <c r="G141" s="109"/>
      <c r="H141" s="109"/>
      <c r="I141" s="109"/>
      <c r="J141" s="108"/>
      <c r="K141" s="108"/>
      <c r="L141" s="108"/>
      <c r="M141" s="108"/>
      <c r="N141" s="108"/>
      <c r="O141" s="108"/>
    </row>
    <row r="142" spans="1:15" ht="24" customHeight="1">
      <c r="A142" s="696"/>
      <c r="B142" s="697"/>
      <c r="C142" s="109" t="s">
        <v>388</v>
      </c>
      <c r="D142" s="109"/>
      <c r="E142" s="109"/>
      <c r="F142" s="109"/>
      <c r="G142" s="109"/>
      <c r="H142" s="109"/>
      <c r="I142" s="109"/>
      <c r="J142" s="108"/>
      <c r="K142" s="108"/>
      <c r="L142" s="108"/>
      <c r="M142" s="108"/>
      <c r="N142" s="108"/>
      <c r="O142" s="108"/>
    </row>
    <row r="143" spans="1:15" ht="15.75">
      <c r="A143" s="696" t="s">
        <v>359</v>
      </c>
      <c r="B143" s="697" t="s">
        <v>296</v>
      </c>
      <c r="C143" s="109" t="s">
        <v>424</v>
      </c>
      <c r="D143" s="109"/>
      <c r="E143" s="109"/>
      <c r="F143" s="109"/>
      <c r="G143" s="109"/>
      <c r="H143" s="109"/>
      <c r="I143" s="109"/>
      <c r="J143" s="108"/>
      <c r="K143" s="108"/>
      <c r="L143" s="108"/>
      <c r="M143" s="108"/>
      <c r="N143" s="108"/>
      <c r="O143" s="108"/>
    </row>
    <row r="144" spans="1:15" ht="15.75">
      <c r="A144" s="696"/>
      <c r="B144" s="697"/>
      <c r="C144" s="109" t="s">
        <v>277</v>
      </c>
      <c r="D144" s="109"/>
      <c r="E144" s="109"/>
      <c r="F144" s="109"/>
      <c r="G144" s="109"/>
      <c r="H144" s="109"/>
      <c r="I144" s="109"/>
      <c r="J144" s="108"/>
      <c r="K144" s="108"/>
      <c r="L144" s="108"/>
      <c r="M144" s="108"/>
      <c r="N144" s="108"/>
      <c r="O144" s="108"/>
    </row>
    <row r="145" spans="1:15" ht="15.75">
      <c r="A145" s="696"/>
      <c r="B145" s="697"/>
      <c r="C145" s="109" t="s">
        <v>278</v>
      </c>
      <c r="D145" s="109"/>
      <c r="E145" s="109"/>
      <c r="F145" s="109"/>
      <c r="G145" s="109"/>
      <c r="H145" s="109"/>
      <c r="I145" s="109"/>
      <c r="J145" s="108"/>
      <c r="K145" s="108"/>
      <c r="L145" s="108"/>
      <c r="M145" s="108"/>
      <c r="N145" s="108"/>
      <c r="O145" s="108"/>
    </row>
    <row r="146" spans="1:15" ht="18.75">
      <c r="A146" s="696"/>
      <c r="B146" s="697"/>
      <c r="C146" s="109" t="s">
        <v>388</v>
      </c>
      <c r="D146" s="109"/>
      <c r="E146" s="109"/>
      <c r="F146" s="109"/>
      <c r="G146" s="109"/>
      <c r="H146" s="109"/>
      <c r="I146" s="109"/>
      <c r="J146" s="108"/>
      <c r="K146" s="108"/>
      <c r="L146" s="108"/>
      <c r="M146" s="108"/>
      <c r="N146" s="108"/>
      <c r="O146" s="108"/>
    </row>
    <row r="147" spans="1:15" ht="15.75">
      <c r="A147" s="696" t="s">
        <v>360</v>
      </c>
      <c r="B147" s="697" t="s">
        <v>297</v>
      </c>
      <c r="C147" s="109" t="s">
        <v>424</v>
      </c>
      <c r="D147" s="109"/>
      <c r="E147" s="109"/>
      <c r="F147" s="109"/>
      <c r="G147" s="109"/>
      <c r="H147" s="109"/>
      <c r="I147" s="109"/>
      <c r="J147" s="108"/>
      <c r="K147" s="108"/>
      <c r="L147" s="108"/>
      <c r="M147" s="108"/>
      <c r="N147" s="108"/>
      <c r="O147" s="108"/>
    </row>
    <row r="148" spans="1:15" ht="15.75">
      <c r="A148" s="696"/>
      <c r="B148" s="697"/>
      <c r="C148" s="109" t="s">
        <v>277</v>
      </c>
      <c r="D148" s="109"/>
      <c r="E148" s="109"/>
      <c r="F148" s="109"/>
      <c r="G148" s="109"/>
      <c r="H148" s="109"/>
      <c r="I148" s="109"/>
      <c r="J148" s="108"/>
      <c r="K148" s="108"/>
      <c r="L148" s="108"/>
      <c r="M148" s="108"/>
      <c r="N148" s="108"/>
      <c r="O148" s="108"/>
    </row>
    <row r="149" spans="1:15" ht="15.75">
      <c r="A149" s="696"/>
      <c r="B149" s="697"/>
      <c r="C149" s="109" t="s">
        <v>278</v>
      </c>
      <c r="D149" s="109"/>
      <c r="E149" s="109"/>
      <c r="F149" s="109"/>
      <c r="G149" s="109"/>
      <c r="H149" s="109"/>
      <c r="I149" s="109"/>
      <c r="J149" s="108"/>
      <c r="K149" s="108"/>
      <c r="L149" s="108"/>
      <c r="M149" s="108"/>
      <c r="N149" s="108"/>
      <c r="O149" s="108"/>
    </row>
    <row r="150" spans="1:15" ht="18.75">
      <c r="A150" s="696"/>
      <c r="B150" s="697"/>
      <c r="C150" s="109" t="s">
        <v>388</v>
      </c>
      <c r="D150" s="109"/>
      <c r="E150" s="109"/>
      <c r="F150" s="109"/>
      <c r="G150" s="109"/>
      <c r="H150" s="109"/>
      <c r="I150" s="109"/>
      <c r="J150" s="108"/>
      <c r="K150" s="108"/>
      <c r="L150" s="108"/>
      <c r="M150" s="108"/>
      <c r="N150" s="108"/>
      <c r="O150" s="108"/>
    </row>
    <row r="151" spans="1:15" ht="15.75">
      <c r="A151" s="696" t="s">
        <v>381</v>
      </c>
      <c r="B151" s="697" t="s">
        <v>298</v>
      </c>
      <c r="C151" s="109" t="s">
        <v>424</v>
      </c>
      <c r="D151" s="109"/>
      <c r="E151" s="109"/>
      <c r="F151" s="109"/>
      <c r="G151" s="109"/>
      <c r="H151" s="109"/>
      <c r="I151" s="109"/>
      <c r="J151" s="108"/>
      <c r="K151" s="108"/>
      <c r="L151" s="108"/>
      <c r="M151" s="108"/>
      <c r="N151" s="108"/>
      <c r="O151" s="108"/>
    </row>
    <row r="152" spans="1:15" ht="16.5" customHeight="1">
      <c r="A152" s="696"/>
      <c r="B152" s="697"/>
      <c r="C152" s="109" t="s">
        <v>277</v>
      </c>
      <c r="D152" s="109"/>
      <c r="E152" s="109"/>
      <c r="F152" s="109"/>
      <c r="G152" s="109"/>
      <c r="H152" s="109"/>
      <c r="I152" s="109"/>
      <c r="J152" s="108"/>
      <c r="K152" s="108"/>
      <c r="L152" s="108"/>
      <c r="M152" s="108"/>
      <c r="N152" s="108"/>
      <c r="O152" s="108"/>
    </row>
    <row r="153" spans="1:15" ht="16.5" customHeight="1">
      <c r="A153" s="696"/>
      <c r="B153" s="697"/>
      <c r="C153" s="109" t="s">
        <v>278</v>
      </c>
      <c r="D153" s="109"/>
      <c r="E153" s="109"/>
      <c r="F153" s="109"/>
      <c r="G153" s="109"/>
      <c r="H153" s="109"/>
      <c r="I153" s="109"/>
      <c r="J153" s="108"/>
      <c r="K153" s="108"/>
      <c r="L153" s="108"/>
      <c r="M153" s="108"/>
      <c r="N153" s="108"/>
      <c r="O153" s="108"/>
    </row>
    <row r="154" spans="1:15" ht="21.75" customHeight="1">
      <c r="A154" s="696"/>
      <c r="B154" s="697"/>
      <c r="C154" s="109" t="s">
        <v>388</v>
      </c>
      <c r="D154" s="109"/>
      <c r="E154" s="109"/>
      <c r="F154" s="109"/>
      <c r="G154" s="109"/>
      <c r="H154" s="109"/>
      <c r="I154" s="109"/>
      <c r="J154" s="108"/>
      <c r="K154" s="108"/>
      <c r="L154" s="108"/>
      <c r="M154" s="108"/>
      <c r="N154" s="108"/>
      <c r="O154" s="108"/>
    </row>
    <row r="155" spans="1:15" ht="34.5" customHeight="1">
      <c r="A155" s="112" t="s">
        <v>295</v>
      </c>
      <c r="B155" s="109" t="s">
        <v>314</v>
      </c>
      <c r="C155" s="109" t="s">
        <v>368</v>
      </c>
      <c r="D155" s="109" t="s">
        <v>368</v>
      </c>
      <c r="E155" s="109" t="s">
        <v>368</v>
      </c>
      <c r="F155" s="109" t="s">
        <v>368</v>
      </c>
      <c r="G155" s="109" t="s">
        <v>368</v>
      </c>
      <c r="H155" s="109" t="s">
        <v>368</v>
      </c>
      <c r="I155" s="109" t="s">
        <v>368</v>
      </c>
      <c r="J155" s="109" t="s">
        <v>368</v>
      </c>
      <c r="K155" s="109" t="s">
        <v>368</v>
      </c>
      <c r="L155" s="109" t="s">
        <v>368</v>
      </c>
      <c r="M155" s="109" t="s">
        <v>368</v>
      </c>
      <c r="N155" s="109" t="s">
        <v>368</v>
      </c>
      <c r="O155" s="109" t="s">
        <v>368</v>
      </c>
    </row>
    <row r="156" spans="1:15" ht="18.75">
      <c r="A156" s="112" t="s">
        <v>377</v>
      </c>
      <c r="B156" s="109" t="s">
        <v>377</v>
      </c>
      <c r="C156" s="109"/>
      <c r="D156" s="109"/>
      <c r="E156" s="109"/>
      <c r="F156" s="109"/>
      <c r="G156" s="109"/>
      <c r="H156" s="109"/>
      <c r="I156" s="109"/>
      <c r="J156" s="108"/>
      <c r="K156" s="108"/>
      <c r="L156" s="108"/>
      <c r="M156" s="108"/>
      <c r="N156" s="108"/>
      <c r="O156" s="108"/>
    </row>
    <row r="158" ht="18">
      <c r="B158" s="11" t="s">
        <v>406</v>
      </c>
    </row>
    <row r="159" ht="18">
      <c r="B159" s="11" t="s">
        <v>305</v>
      </c>
    </row>
    <row r="160" ht="18">
      <c r="B160" s="11" t="s">
        <v>407</v>
      </c>
    </row>
    <row r="161" ht="18">
      <c r="B161" s="11" t="s">
        <v>390</v>
      </c>
    </row>
    <row r="162" ht="18">
      <c r="B162" s="11" t="s">
        <v>389</v>
      </c>
    </row>
  </sheetData>
  <sheetProtection/>
  <mergeCells count="110">
    <mergeCell ref="A147:A150"/>
    <mergeCell ref="B147:B150"/>
    <mergeCell ref="A151:A154"/>
    <mergeCell ref="B151:B154"/>
    <mergeCell ref="G15:G16"/>
    <mergeCell ref="B15:B16"/>
    <mergeCell ref="C15:C16"/>
    <mergeCell ref="A15:A16"/>
    <mergeCell ref="A40:A41"/>
    <mergeCell ref="B40:B41"/>
    <mergeCell ref="H15:I15"/>
    <mergeCell ref="B24:B25"/>
    <mergeCell ref="A38:A39"/>
    <mergeCell ref="B38:B39"/>
    <mergeCell ref="A32:A33"/>
    <mergeCell ref="B32:B33"/>
    <mergeCell ref="A34:A35"/>
    <mergeCell ref="B34:B35"/>
    <mergeCell ref="A36:A37"/>
    <mergeCell ref="B36:B37"/>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A42:A43"/>
    <mergeCell ref="B42:B43"/>
    <mergeCell ref="B26:B27"/>
    <mergeCell ref="A28:A29"/>
    <mergeCell ref="B30:B31"/>
    <mergeCell ref="A20:A21"/>
    <mergeCell ref="B20:B21"/>
    <mergeCell ref="A22:A23"/>
    <mergeCell ref="B22:B23"/>
    <mergeCell ref="A24:A25"/>
    <mergeCell ref="B28:B29"/>
    <mergeCell ref="A30:A31"/>
    <mergeCell ref="A59:A62"/>
    <mergeCell ref="B59:B62"/>
    <mergeCell ref="A63:A66"/>
    <mergeCell ref="B63:B66"/>
    <mergeCell ref="A44:A45"/>
    <mergeCell ref="B44:B45"/>
    <mergeCell ref="A46:A47"/>
    <mergeCell ref="B46:B47"/>
    <mergeCell ref="A55:A58"/>
    <mergeCell ref="B55:B58"/>
    <mergeCell ref="A104:A105"/>
    <mergeCell ref="B104:B105"/>
    <mergeCell ref="A90:A91"/>
    <mergeCell ref="B90:B91"/>
    <mergeCell ref="A92:A93"/>
    <mergeCell ref="B92:B93"/>
    <mergeCell ref="A96:A97"/>
    <mergeCell ref="B96:B97"/>
    <mergeCell ref="A79:A82"/>
    <mergeCell ref="B79:B82"/>
    <mergeCell ref="A88:A89"/>
    <mergeCell ref="B88:B89"/>
    <mergeCell ref="A83:A86"/>
    <mergeCell ref="B83:B86"/>
    <mergeCell ref="A12:O12"/>
    <mergeCell ref="A13:O13"/>
    <mergeCell ref="A94:A95"/>
    <mergeCell ref="B94:B95"/>
    <mergeCell ref="A48:A49"/>
    <mergeCell ref="B48:B49"/>
    <mergeCell ref="A71:A74"/>
    <mergeCell ref="B71:B74"/>
    <mergeCell ref="A75:A78"/>
    <mergeCell ref="B75:B78"/>
    <mergeCell ref="A139:A142"/>
    <mergeCell ref="B139:B142"/>
    <mergeCell ref="A98:A99"/>
    <mergeCell ref="B98:B99"/>
    <mergeCell ref="A110:A111"/>
    <mergeCell ref="B110:B111"/>
    <mergeCell ref="A100:A101"/>
    <mergeCell ref="B100:B101"/>
    <mergeCell ref="A102:A103"/>
    <mergeCell ref="B102:B103"/>
    <mergeCell ref="A143:A146"/>
    <mergeCell ref="B143:B146"/>
    <mergeCell ref="A123:A126"/>
    <mergeCell ref="B123:B126"/>
    <mergeCell ref="A127:A130"/>
    <mergeCell ref="B127:B130"/>
    <mergeCell ref="A131:A134"/>
    <mergeCell ref="B131:B134"/>
    <mergeCell ref="A135:A138"/>
    <mergeCell ref="B135:B138"/>
    <mergeCell ref="A116:A117"/>
    <mergeCell ref="B116:B117"/>
    <mergeCell ref="A106:A107"/>
    <mergeCell ref="B106:B107"/>
    <mergeCell ref="A108:A109"/>
    <mergeCell ref="B108:B109"/>
    <mergeCell ref="A112:A113"/>
    <mergeCell ref="B112:B113"/>
    <mergeCell ref="A114:A115"/>
    <mergeCell ref="B114:B115"/>
  </mergeCells>
  <printOptions horizontalCentered="1"/>
  <pageMargins left="0.7086614173228347" right="0.7086614173228347" top="0.7480314960629921" bottom="0.7480314960629921" header="0.31496062992125984" footer="0.31496062992125984"/>
  <pageSetup firstPageNumber="3" useFirstPageNumber="1" fitToWidth="2" horizontalDpi="600" verticalDpi="600" orientation="landscape" paperSize="8" scale="6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sheetPr>
    <tabColor indexed="10"/>
  </sheetPr>
  <dimension ref="A1:AG39"/>
  <sheetViews>
    <sheetView view="pageBreakPreview" zoomScale="70" zoomScaleNormal="50" zoomScaleSheetLayoutView="70" zoomScalePageLayoutView="0" workbookViewId="0" topLeftCell="A22">
      <selection activeCell="I17" sqref="I17"/>
    </sheetView>
  </sheetViews>
  <sheetFormatPr defaultColWidth="16.625" defaultRowHeight="15.75"/>
  <cols>
    <col min="1" max="1" width="12.50390625" style="111" customWidth="1"/>
    <col min="2" max="2" width="25.50390625" style="8" customWidth="1"/>
    <col min="3" max="3" width="20.625" style="8" customWidth="1"/>
    <col min="4" max="4" width="20.375" style="8" customWidth="1"/>
    <col min="5" max="5" width="19.75390625" style="8" customWidth="1"/>
    <col min="6" max="6" width="22.875" style="8" customWidth="1"/>
    <col min="7" max="7" width="19.625" style="8" customWidth="1"/>
    <col min="8" max="8" width="17.375" style="8" customWidth="1"/>
    <col min="9" max="9" width="23.375" style="8" customWidth="1"/>
    <col min="10" max="10" width="12.75390625" style="8" customWidth="1"/>
    <col min="11" max="12" width="17.375" style="8" customWidth="1"/>
    <col min="13" max="13" width="18.50390625" style="8" customWidth="1"/>
    <col min="14" max="14" width="21.50390625" style="8" customWidth="1"/>
    <col min="15" max="15" width="7.75390625" style="8" customWidth="1"/>
    <col min="16" max="16" width="9.00390625" style="8" customWidth="1"/>
    <col min="17" max="17" width="17.75390625" style="8" customWidth="1"/>
    <col min="18" max="18" width="18.375" style="8" customWidth="1"/>
    <col min="19" max="19" width="9.125" style="8" customWidth="1"/>
    <col min="20" max="20" width="9.00390625" style="8" customWidth="1"/>
    <col min="21" max="21" width="22.00390625" style="8" customWidth="1"/>
    <col min="22" max="22" width="22.625" style="8" customWidth="1"/>
    <col min="23" max="23" width="14.875" style="8" customWidth="1"/>
    <col min="24" max="24" width="10.625" style="7" customWidth="1"/>
    <col min="25" max="25" width="9.25390625" style="7" customWidth="1"/>
    <col min="26" max="26" width="11.125" style="7" customWidth="1"/>
    <col min="27" max="27" width="11.875" style="7" customWidth="1"/>
    <col min="28" max="28" width="15.625" style="7" customWidth="1"/>
    <col min="29" max="30" width="15.875" style="7" customWidth="1"/>
    <col min="31" max="31" width="20.75390625" style="7" customWidth="1"/>
    <col min="32" max="32" width="18.375" style="7" customWidth="1"/>
    <col min="33" max="33" width="29.00390625" style="7" customWidth="1"/>
    <col min="34" max="253" width="9.00390625" style="7" customWidth="1"/>
    <col min="254" max="254" width="3.875" style="7" bestFit="1" customWidth="1"/>
    <col min="255" max="255" width="16.00390625" style="7" bestFit="1" customWidth="1"/>
    <col min="256" max="16384" width="16.625" style="7" bestFit="1" customWidth="1"/>
  </cols>
  <sheetData>
    <row r="1" spans="16:30" ht="18.75">
      <c r="P1" s="26"/>
      <c r="AD1" s="26"/>
    </row>
    <row r="2" spans="16:30" ht="18.75">
      <c r="P2" s="16"/>
      <c r="AD2" s="16"/>
    </row>
    <row r="3" spans="16:30" ht="18.75">
      <c r="P3" s="16"/>
      <c r="AD3" s="16"/>
    </row>
    <row r="4" spans="1:30" ht="18.75">
      <c r="A4" s="670"/>
      <c r="B4" s="670"/>
      <c r="C4" s="670"/>
      <c r="D4" s="670"/>
      <c r="E4" s="670"/>
      <c r="F4" s="670"/>
      <c r="G4" s="670"/>
      <c r="H4" s="670"/>
      <c r="I4" s="670"/>
      <c r="J4" s="12"/>
      <c r="K4" s="12"/>
      <c r="L4" s="12"/>
      <c r="M4" s="12"/>
      <c r="N4" s="12"/>
      <c r="O4" s="12"/>
      <c r="P4" s="12"/>
      <c r="AD4" s="16"/>
    </row>
    <row r="5" spans="1:33" ht="39" customHeight="1">
      <c r="A5" s="710" t="s">
        <v>367</v>
      </c>
      <c r="B5" s="710"/>
      <c r="C5" s="710"/>
      <c r="D5" s="710"/>
      <c r="E5" s="710"/>
      <c r="F5" s="710"/>
      <c r="G5" s="710"/>
      <c r="H5" s="710"/>
      <c r="I5" s="710"/>
      <c r="J5" s="89"/>
      <c r="K5" s="89"/>
      <c r="L5" s="89"/>
      <c r="M5" s="89"/>
      <c r="N5" s="89"/>
      <c r="O5" s="89"/>
      <c r="P5" s="89"/>
      <c r="Q5" s="88"/>
      <c r="R5" s="88"/>
      <c r="S5" s="88"/>
      <c r="T5" s="88"/>
      <c r="U5" s="88"/>
      <c r="V5" s="88"/>
      <c r="W5" s="88"/>
      <c r="X5" s="88"/>
      <c r="Y5" s="88"/>
      <c r="Z5" s="88"/>
      <c r="AA5" s="88"/>
      <c r="AB5" s="88"/>
      <c r="AC5" s="88"/>
      <c r="AD5" s="88"/>
      <c r="AE5" s="88"/>
      <c r="AF5" s="88"/>
      <c r="AG5" s="88"/>
    </row>
    <row r="6" spans="1:33" ht="22.5" customHeight="1">
      <c r="A6" s="118"/>
      <c r="B6" s="118"/>
      <c r="C6" s="118"/>
      <c r="D6" s="118"/>
      <c r="E6" s="118"/>
      <c r="F6" s="118"/>
      <c r="G6" s="118"/>
      <c r="H6" s="118"/>
      <c r="I6" s="118"/>
      <c r="J6" s="89"/>
      <c r="K6" s="89"/>
      <c r="L6" s="89"/>
      <c r="M6" s="89"/>
      <c r="N6" s="89"/>
      <c r="O6" s="89"/>
      <c r="P6" s="89"/>
      <c r="Q6" s="88"/>
      <c r="R6" s="88"/>
      <c r="S6" s="88"/>
      <c r="T6" s="88"/>
      <c r="U6" s="88"/>
      <c r="V6" s="88"/>
      <c r="W6" s="88"/>
      <c r="X6" s="88"/>
      <c r="Y6" s="88"/>
      <c r="Z6" s="88"/>
      <c r="AA6" s="88"/>
      <c r="AB6" s="88"/>
      <c r="AC6" s="88"/>
      <c r="AD6" s="88"/>
      <c r="AE6" s="88"/>
      <c r="AF6" s="88"/>
      <c r="AG6" s="88"/>
    </row>
    <row r="7" spans="1:33" ht="15.75">
      <c r="A7" s="663" t="s">
        <v>23</v>
      </c>
      <c r="B7" s="663"/>
      <c r="C7" s="663"/>
      <c r="D7" s="663"/>
      <c r="E7" s="663"/>
      <c r="F7" s="663"/>
      <c r="G7" s="663"/>
      <c r="H7" s="663"/>
      <c r="I7" s="663"/>
      <c r="J7" s="50"/>
      <c r="K7" s="50"/>
      <c r="L7" s="50"/>
      <c r="M7" s="50"/>
      <c r="N7" s="50"/>
      <c r="O7" s="50"/>
      <c r="P7" s="50"/>
      <c r="Q7" s="82"/>
      <c r="R7" s="82"/>
      <c r="S7" s="82"/>
      <c r="T7" s="82"/>
      <c r="U7" s="82"/>
      <c r="V7" s="82"/>
      <c r="W7" s="82"/>
      <c r="X7" s="82"/>
      <c r="Y7" s="82"/>
      <c r="Z7" s="82"/>
      <c r="AA7" s="82"/>
      <c r="AB7" s="82"/>
      <c r="AC7" s="82"/>
      <c r="AD7" s="82"/>
      <c r="AE7" s="82"/>
      <c r="AF7" s="82"/>
      <c r="AG7" s="82"/>
    </row>
    <row r="8" spans="1:33" ht="15.75">
      <c r="A8" s="711" t="s">
        <v>109</v>
      </c>
      <c r="B8" s="711"/>
      <c r="C8" s="711"/>
      <c r="D8" s="711"/>
      <c r="E8" s="711"/>
      <c r="F8" s="711"/>
      <c r="G8" s="711"/>
      <c r="H8" s="711"/>
      <c r="I8" s="711"/>
      <c r="J8" s="76"/>
      <c r="K8" s="76"/>
      <c r="L8" s="76"/>
      <c r="M8" s="76"/>
      <c r="N8" s="76"/>
      <c r="O8" s="76"/>
      <c r="P8" s="76"/>
      <c r="Q8" s="76"/>
      <c r="R8" s="76"/>
      <c r="S8" s="76"/>
      <c r="T8" s="76"/>
      <c r="U8" s="76"/>
      <c r="V8" s="76"/>
      <c r="W8" s="76"/>
      <c r="X8" s="76"/>
      <c r="Y8" s="76"/>
      <c r="Z8" s="76"/>
      <c r="AA8" s="76"/>
      <c r="AB8" s="76"/>
      <c r="AC8" s="76"/>
      <c r="AD8" s="76"/>
      <c r="AE8" s="76"/>
      <c r="AF8" s="76"/>
      <c r="AG8" s="76"/>
    </row>
    <row r="9" spans="1:33" ht="15">
      <c r="A9" s="671"/>
      <c r="B9" s="671"/>
      <c r="C9" s="671"/>
      <c r="D9" s="671"/>
      <c r="E9" s="671"/>
      <c r="F9" s="671"/>
      <c r="G9" s="671"/>
      <c r="H9" s="671"/>
      <c r="I9" s="671"/>
      <c r="J9" s="89"/>
      <c r="K9" s="89"/>
      <c r="L9" s="89"/>
      <c r="M9" s="89"/>
      <c r="N9" s="89"/>
      <c r="O9" s="89"/>
      <c r="P9" s="89"/>
      <c r="Q9" s="89"/>
      <c r="R9" s="89"/>
      <c r="S9" s="89"/>
      <c r="T9" s="89"/>
      <c r="U9" s="89"/>
      <c r="V9" s="89"/>
      <c r="W9" s="89"/>
      <c r="X9" s="89"/>
      <c r="Y9" s="89"/>
      <c r="Z9" s="89"/>
      <c r="AA9" s="89"/>
      <c r="AB9" s="89"/>
      <c r="AC9" s="89"/>
      <c r="AD9" s="89"/>
      <c r="AE9" s="89"/>
      <c r="AF9" s="89"/>
      <c r="AG9" s="89"/>
    </row>
    <row r="10" spans="1:33" ht="18" customHeight="1">
      <c r="A10" s="561" t="s">
        <v>489</v>
      </c>
      <c r="B10" s="561"/>
      <c r="C10" s="561"/>
      <c r="D10" s="561"/>
      <c r="E10" s="561"/>
      <c r="F10" s="561"/>
      <c r="G10" s="561"/>
      <c r="H10" s="561"/>
      <c r="I10" s="561"/>
      <c r="J10" s="19"/>
      <c r="K10" s="19"/>
      <c r="L10" s="19"/>
      <c r="M10" s="19"/>
      <c r="N10" s="19"/>
      <c r="O10" s="19"/>
      <c r="P10" s="19"/>
      <c r="Q10" s="12"/>
      <c r="R10" s="12"/>
      <c r="S10" s="12"/>
      <c r="T10" s="12"/>
      <c r="U10" s="12"/>
      <c r="V10" s="12"/>
      <c r="W10" s="12"/>
      <c r="X10" s="12"/>
      <c r="Y10" s="12"/>
      <c r="Z10" s="12"/>
      <c r="AA10" s="12"/>
      <c r="AB10" s="12"/>
      <c r="AC10" s="12"/>
      <c r="AD10" s="12"/>
      <c r="AE10" s="12"/>
      <c r="AF10" s="12"/>
      <c r="AG10" s="12"/>
    </row>
    <row r="11" spans="1:33" ht="15">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row>
    <row r="12" spans="1:9" ht="33" customHeight="1">
      <c r="A12" s="696" t="s">
        <v>242</v>
      </c>
      <c r="B12" s="701" t="s">
        <v>279</v>
      </c>
      <c r="C12" s="701" t="s">
        <v>391</v>
      </c>
      <c r="D12" s="701"/>
      <c r="E12" s="701"/>
      <c r="F12" s="701" t="s">
        <v>392</v>
      </c>
      <c r="G12" s="701" t="s">
        <v>313</v>
      </c>
      <c r="H12" s="705" t="s">
        <v>309</v>
      </c>
      <c r="I12" s="705" t="s">
        <v>399</v>
      </c>
    </row>
    <row r="13" spans="1:18" ht="47.25" customHeight="1">
      <c r="A13" s="696"/>
      <c r="B13" s="701"/>
      <c r="C13" s="109" t="s">
        <v>374</v>
      </c>
      <c r="D13" s="109" t="s">
        <v>375</v>
      </c>
      <c r="E13" s="109" t="s">
        <v>376</v>
      </c>
      <c r="F13" s="701"/>
      <c r="G13" s="701"/>
      <c r="H13" s="706"/>
      <c r="I13" s="706"/>
      <c r="R13" s="11"/>
    </row>
    <row r="14" spans="1:9" ht="15.75">
      <c r="A14" s="112">
        <v>1</v>
      </c>
      <c r="B14" s="109">
        <v>2</v>
      </c>
      <c r="C14" s="109">
        <v>3</v>
      </c>
      <c r="D14" s="109">
        <v>4</v>
      </c>
      <c r="E14" s="109">
        <v>5</v>
      </c>
      <c r="F14" s="109">
        <v>6</v>
      </c>
      <c r="G14" s="109">
        <v>7</v>
      </c>
      <c r="H14" s="109">
        <v>8</v>
      </c>
      <c r="I14" s="109">
        <v>9</v>
      </c>
    </row>
    <row r="15" spans="1:9" ht="31.5">
      <c r="A15" s="112" t="s">
        <v>284</v>
      </c>
      <c r="B15" s="109" t="s">
        <v>314</v>
      </c>
      <c r="C15" s="109" t="s">
        <v>372</v>
      </c>
      <c r="D15" s="109" t="s">
        <v>368</v>
      </c>
      <c r="E15" s="109" t="s">
        <v>368</v>
      </c>
      <c r="F15" s="109" t="s">
        <v>368</v>
      </c>
      <c r="G15" s="109" t="s">
        <v>368</v>
      </c>
      <c r="H15" s="109" t="s">
        <v>368</v>
      </c>
      <c r="I15" s="109" t="s">
        <v>368</v>
      </c>
    </row>
    <row r="16" spans="1:9" ht="158.25" customHeight="1">
      <c r="A16" s="112" t="s">
        <v>285</v>
      </c>
      <c r="B16" s="109" t="s">
        <v>397</v>
      </c>
      <c r="C16" s="109"/>
      <c r="D16" s="109"/>
      <c r="E16" s="109"/>
      <c r="F16" s="109" t="s">
        <v>371</v>
      </c>
      <c r="G16" s="109" t="s">
        <v>368</v>
      </c>
      <c r="H16" s="109" t="s">
        <v>368</v>
      </c>
      <c r="I16" s="109"/>
    </row>
    <row r="17" spans="1:9" ht="47.25">
      <c r="A17" s="112" t="s">
        <v>287</v>
      </c>
      <c r="B17" s="109" t="s">
        <v>361</v>
      </c>
      <c r="C17" s="109"/>
      <c r="D17" s="109"/>
      <c r="E17" s="109"/>
      <c r="F17" s="109" t="s">
        <v>310</v>
      </c>
      <c r="G17" s="109" t="s">
        <v>306</v>
      </c>
      <c r="H17" s="109"/>
      <c r="I17" s="109" t="s">
        <v>366</v>
      </c>
    </row>
    <row r="18" spans="1:9" ht="47.25">
      <c r="A18" s="112" t="s">
        <v>288</v>
      </c>
      <c r="B18" s="109" t="s">
        <v>362</v>
      </c>
      <c r="C18" s="109"/>
      <c r="D18" s="109"/>
      <c r="E18" s="109"/>
      <c r="F18" s="109" t="s">
        <v>310</v>
      </c>
      <c r="G18" s="109" t="s">
        <v>307</v>
      </c>
      <c r="H18" s="109"/>
      <c r="I18" s="109" t="s">
        <v>366</v>
      </c>
    </row>
    <row r="19" spans="1:9" ht="63">
      <c r="A19" s="112" t="s">
        <v>289</v>
      </c>
      <c r="B19" s="109" t="s">
        <v>363</v>
      </c>
      <c r="C19" s="109"/>
      <c r="D19" s="109"/>
      <c r="E19" s="109"/>
      <c r="F19" s="109" t="s">
        <v>310</v>
      </c>
      <c r="G19" s="109" t="s">
        <v>308</v>
      </c>
      <c r="H19" s="109"/>
      <c r="I19" s="109" t="s">
        <v>366</v>
      </c>
    </row>
    <row r="20" spans="1:9" ht="157.5">
      <c r="A20" s="112" t="s">
        <v>290</v>
      </c>
      <c r="B20" s="109" t="s">
        <v>364</v>
      </c>
      <c r="C20" s="109"/>
      <c r="D20" s="109"/>
      <c r="E20" s="109"/>
      <c r="F20" s="109" t="s">
        <v>310</v>
      </c>
      <c r="G20" s="109" t="s">
        <v>308</v>
      </c>
      <c r="H20" s="109"/>
      <c r="I20" s="109" t="s">
        <v>366</v>
      </c>
    </row>
    <row r="21" spans="1:9" ht="94.5">
      <c r="A21" s="112" t="s">
        <v>331</v>
      </c>
      <c r="B21" s="109" t="s">
        <v>365</v>
      </c>
      <c r="C21" s="109"/>
      <c r="D21" s="109"/>
      <c r="E21" s="109"/>
      <c r="F21" s="109" t="s">
        <v>310</v>
      </c>
      <c r="G21" s="109" t="s">
        <v>308</v>
      </c>
      <c r="H21" s="109"/>
      <c r="I21" s="109" t="s">
        <v>366</v>
      </c>
    </row>
    <row r="22" spans="1:9" ht="160.5">
      <c r="A22" s="112" t="s">
        <v>286</v>
      </c>
      <c r="B22" s="109" t="s">
        <v>421</v>
      </c>
      <c r="C22" s="109"/>
      <c r="D22" s="109"/>
      <c r="E22" s="109"/>
      <c r="F22" s="109" t="s">
        <v>310</v>
      </c>
      <c r="G22" s="109" t="s">
        <v>368</v>
      </c>
      <c r="H22" s="109" t="s">
        <v>368</v>
      </c>
      <c r="I22" s="109"/>
    </row>
    <row r="23" spans="1:9" ht="47.25">
      <c r="A23" s="112" t="s">
        <v>291</v>
      </c>
      <c r="B23" s="109" t="s">
        <v>361</v>
      </c>
      <c r="C23" s="109"/>
      <c r="D23" s="109"/>
      <c r="E23" s="109"/>
      <c r="F23" s="109" t="s">
        <v>310</v>
      </c>
      <c r="G23" s="109" t="s">
        <v>306</v>
      </c>
      <c r="H23" s="109"/>
      <c r="I23" s="109" t="s">
        <v>366</v>
      </c>
    </row>
    <row r="24" spans="1:9" ht="47.25">
      <c r="A24" s="112" t="s">
        <v>292</v>
      </c>
      <c r="B24" s="109" t="s">
        <v>362</v>
      </c>
      <c r="C24" s="109"/>
      <c r="D24" s="109"/>
      <c r="E24" s="109"/>
      <c r="F24" s="109" t="s">
        <v>310</v>
      </c>
      <c r="G24" s="109" t="s">
        <v>307</v>
      </c>
      <c r="H24" s="109"/>
      <c r="I24" s="109" t="s">
        <v>366</v>
      </c>
    </row>
    <row r="25" spans="1:9" ht="63">
      <c r="A25" s="112" t="s">
        <v>293</v>
      </c>
      <c r="B25" s="109" t="s">
        <v>363</v>
      </c>
      <c r="C25" s="109"/>
      <c r="D25" s="109"/>
      <c r="E25" s="109"/>
      <c r="F25" s="109" t="s">
        <v>310</v>
      </c>
      <c r="G25" s="109" t="s">
        <v>308</v>
      </c>
      <c r="H25" s="109"/>
      <c r="I25" s="109" t="s">
        <v>366</v>
      </c>
    </row>
    <row r="26" spans="1:9" ht="157.5">
      <c r="A26" s="112" t="s">
        <v>294</v>
      </c>
      <c r="B26" s="109" t="s">
        <v>364</v>
      </c>
      <c r="C26" s="109"/>
      <c r="D26" s="109"/>
      <c r="E26" s="109"/>
      <c r="F26" s="109" t="s">
        <v>310</v>
      </c>
      <c r="G26" s="109" t="s">
        <v>308</v>
      </c>
      <c r="H26" s="109"/>
      <c r="I26" s="109" t="s">
        <v>366</v>
      </c>
    </row>
    <row r="27" spans="1:9" ht="94.5">
      <c r="A27" s="112" t="s">
        <v>354</v>
      </c>
      <c r="B27" s="109" t="s">
        <v>365</v>
      </c>
      <c r="C27" s="109"/>
      <c r="D27" s="109"/>
      <c r="E27" s="109"/>
      <c r="F27" s="109" t="s">
        <v>310</v>
      </c>
      <c r="G27" s="109" t="s">
        <v>308</v>
      </c>
      <c r="H27" s="109"/>
      <c r="I27" s="109" t="s">
        <v>366</v>
      </c>
    </row>
    <row r="28" spans="1:9" ht="31.5">
      <c r="A28" s="112" t="s">
        <v>295</v>
      </c>
      <c r="B28" s="109" t="s">
        <v>314</v>
      </c>
      <c r="C28" s="85" t="s">
        <v>368</v>
      </c>
      <c r="D28" s="85" t="s">
        <v>368</v>
      </c>
      <c r="E28" s="85" t="s">
        <v>368</v>
      </c>
      <c r="F28" s="85" t="s">
        <v>368</v>
      </c>
      <c r="G28" s="85" t="s">
        <v>368</v>
      </c>
      <c r="H28" s="85" t="s">
        <v>368</v>
      </c>
      <c r="I28" s="85" t="s">
        <v>368</v>
      </c>
    </row>
    <row r="29" spans="1:9" ht="18">
      <c r="A29" s="119" t="s">
        <v>379</v>
      </c>
      <c r="B29" s="85" t="s">
        <v>379</v>
      </c>
      <c r="C29" s="61"/>
      <c r="D29" s="61"/>
      <c r="E29" s="61"/>
      <c r="F29" s="61"/>
      <c r="G29" s="61"/>
      <c r="H29" s="61"/>
      <c r="I29" s="61"/>
    </row>
    <row r="31" spans="1:2" ht="18">
      <c r="A31" s="114"/>
      <c r="B31" s="11" t="s">
        <v>408</v>
      </c>
    </row>
    <row r="32" spans="1:9" ht="51.75" customHeight="1">
      <c r="A32" s="114"/>
      <c r="B32" s="709" t="s">
        <v>409</v>
      </c>
      <c r="C32" s="709"/>
      <c r="D32" s="709"/>
      <c r="E32" s="709"/>
      <c r="F32" s="709"/>
      <c r="G32" s="709"/>
      <c r="H32" s="709"/>
      <c r="I32" s="709"/>
    </row>
    <row r="33" spans="1:2" ht="18">
      <c r="A33" s="114"/>
      <c r="B33" s="11" t="s">
        <v>407</v>
      </c>
    </row>
    <row r="34" ht="18">
      <c r="B34" s="11" t="s">
        <v>413</v>
      </c>
    </row>
    <row r="35" ht="18">
      <c r="B35" s="11" t="s">
        <v>414</v>
      </c>
    </row>
    <row r="36" spans="2:9" ht="52.5" customHeight="1">
      <c r="B36" s="709" t="s">
        <v>373</v>
      </c>
      <c r="C36" s="709"/>
      <c r="D36" s="709"/>
      <c r="E36" s="709"/>
      <c r="F36" s="709"/>
      <c r="G36" s="709"/>
      <c r="H36" s="709"/>
      <c r="I36" s="709"/>
    </row>
    <row r="37" ht="18">
      <c r="B37" s="11" t="s">
        <v>378</v>
      </c>
    </row>
    <row r="39" ht="15">
      <c r="B39" s="11"/>
    </row>
  </sheetData>
  <sheetProtection/>
  <mergeCells count="15">
    <mergeCell ref="A9:I9"/>
    <mergeCell ref="A10:I10"/>
    <mergeCell ref="A12:A13"/>
    <mergeCell ref="A4:I4"/>
    <mergeCell ref="A5:I5"/>
    <mergeCell ref="A7:I7"/>
    <mergeCell ref="A8:I8"/>
    <mergeCell ref="B32:I32"/>
    <mergeCell ref="B36:I36"/>
    <mergeCell ref="H12:H13"/>
    <mergeCell ref="I12:I13"/>
    <mergeCell ref="B12:B13"/>
    <mergeCell ref="C12:E12"/>
    <mergeCell ref="F12:F13"/>
    <mergeCell ref="G12:G13"/>
  </mergeCells>
  <printOptions horizontalCentered="1"/>
  <pageMargins left="0.7086614173228347" right="0.7086614173228347" top="0.7480314960629921" bottom="0.7480314960629921" header="0.31496062992125984" footer="0.31496062992125984"/>
  <pageSetup firstPageNumber="7" useFirstPageNumber="1" fitToWidth="2" horizontalDpi="600" verticalDpi="600" orientation="landscape" paperSize="8" scale="65"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sheetPr>
    <tabColor rgb="FF92D050"/>
  </sheetPr>
  <dimension ref="A1:AH96"/>
  <sheetViews>
    <sheetView view="pageBreakPreview" zoomScale="70" zoomScaleSheetLayoutView="70" zoomScalePageLayoutView="0" workbookViewId="0" topLeftCell="A7">
      <selection activeCell="E93" sqref="E93"/>
    </sheetView>
  </sheetViews>
  <sheetFormatPr defaultColWidth="9.00390625" defaultRowHeight="15.75"/>
  <cols>
    <col min="1" max="1" width="7.875" style="36" customWidth="1"/>
    <col min="2" max="2" width="35.50390625" style="36" customWidth="1"/>
    <col min="3" max="3" width="14.375" style="36" customWidth="1"/>
    <col min="4" max="4" width="12.00390625" style="36" customWidth="1"/>
    <col min="5" max="5" width="10.75390625" style="36" customWidth="1"/>
    <col min="6" max="6" width="7.00390625" style="36" customWidth="1"/>
    <col min="7" max="7" width="8.625" style="36" customWidth="1"/>
    <col min="8" max="8" width="21.50390625" style="36" customWidth="1"/>
    <col min="9" max="9" width="21.625" style="36" customWidth="1"/>
    <col min="10" max="10" width="17.375" style="36" customWidth="1"/>
    <col min="11" max="11" width="15.75390625" style="36" customWidth="1"/>
    <col min="12" max="13" width="10.50390625" style="36" customWidth="1"/>
    <col min="14" max="14" width="20.875" style="36" customWidth="1"/>
    <col min="15" max="15" width="19.875" style="36" customWidth="1"/>
    <col min="16" max="16" width="17.75390625" style="36" customWidth="1"/>
    <col min="17" max="17" width="15.625" style="8" customWidth="1"/>
    <col min="18" max="18" width="16.625" style="8" customWidth="1"/>
    <col min="19" max="19" width="10.125" style="8" customWidth="1"/>
    <col min="20" max="20" width="16.75390625" style="7" customWidth="1"/>
    <col min="21" max="22" width="5.375" style="7" customWidth="1"/>
    <col min="23" max="24" width="11.625" style="7" customWidth="1"/>
    <col min="25" max="26" width="5.50390625" style="36" customWidth="1"/>
    <col min="27" max="28" width="7.00390625" style="36" customWidth="1"/>
    <col min="29" max="29" width="40.75390625" style="36" customWidth="1"/>
    <col min="30" max="31" width="11.25390625" style="36" customWidth="1"/>
    <col min="32" max="16384" width="9.00390625" style="36" customWidth="1"/>
  </cols>
  <sheetData>
    <row r="1" spans="1:31" s="32" customFormat="1" ht="18.75" customHeight="1">
      <c r="A1" s="31"/>
      <c r="Q1" s="8"/>
      <c r="R1" s="8"/>
      <c r="S1" s="8"/>
      <c r="T1" s="7"/>
      <c r="U1" s="7"/>
      <c r="V1" s="7"/>
      <c r="W1" s="7"/>
      <c r="AE1" s="26" t="s">
        <v>148</v>
      </c>
    </row>
    <row r="2" spans="1:31" s="32" customFormat="1" ht="18.75" customHeight="1">
      <c r="A2" s="31"/>
      <c r="Q2" s="8"/>
      <c r="R2" s="8"/>
      <c r="S2" s="8"/>
      <c r="T2" s="7"/>
      <c r="U2" s="7"/>
      <c r="V2" s="7"/>
      <c r="W2" s="7"/>
      <c r="AE2" s="251" t="s">
        <v>423</v>
      </c>
    </row>
    <row r="3" spans="1:31" s="32" customFormat="1" ht="15.75">
      <c r="A3" s="33"/>
      <c r="Q3" s="8"/>
      <c r="R3" s="8"/>
      <c r="S3" s="8"/>
      <c r="T3" s="7"/>
      <c r="U3" s="7"/>
      <c r="V3" s="7"/>
      <c r="W3" s="7"/>
      <c r="AE3" s="251" t="s">
        <v>589</v>
      </c>
    </row>
    <row r="4" spans="1:31" s="32" customFormat="1" ht="15.75">
      <c r="A4" s="33"/>
      <c r="Q4" s="8"/>
      <c r="R4" s="8"/>
      <c r="S4" s="8"/>
      <c r="T4" s="7"/>
      <c r="U4" s="7"/>
      <c r="V4" s="7"/>
      <c r="W4" s="7"/>
      <c r="AE4" s="251"/>
    </row>
    <row r="5" spans="1:31" s="32" customFormat="1" ht="15.75">
      <c r="A5" s="33"/>
      <c r="Q5" s="8"/>
      <c r="R5" s="8"/>
      <c r="S5" s="8"/>
      <c r="T5" s="7"/>
      <c r="U5" s="7"/>
      <c r="V5" s="7"/>
      <c r="W5" s="7"/>
      <c r="AE5" s="251" t="s">
        <v>591</v>
      </c>
    </row>
    <row r="6" spans="1:31" s="32" customFormat="1" ht="15.75">
      <c r="A6" s="33"/>
      <c r="Q6" s="8"/>
      <c r="R6" s="8"/>
      <c r="S6" s="8"/>
      <c r="T6" s="7"/>
      <c r="U6" s="7"/>
      <c r="V6" s="7"/>
      <c r="W6" s="7"/>
      <c r="AE6" s="251" t="s">
        <v>592</v>
      </c>
    </row>
    <row r="7" spans="1:31" s="32" customFormat="1" ht="15.75">
      <c r="A7" s="33"/>
      <c r="Q7" s="8"/>
      <c r="R7" s="8"/>
      <c r="S7" s="8"/>
      <c r="T7" s="7"/>
      <c r="U7" s="7"/>
      <c r="V7" s="7"/>
      <c r="W7" s="7"/>
      <c r="AE7" s="251"/>
    </row>
    <row r="8" spans="1:31" s="32" customFormat="1" ht="15.75">
      <c r="A8" s="33"/>
      <c r="Q8" s="8"/>
      <c r="R8" s="8"/>
      <c r="S8" s="8"/>
      <c r="T8" s="7"/>
      <c r="U8" s="7"/>
      <c r="V8" s="7"/>
      <c r="W8" s="7"/>
      <c r="AE8" s="251" t="s">
        <v>769</v>
      </c>
    </row>
    <row r="9" spans="1:31" s="32" customFormat="1" ht="15.75">
      <c r="A9" s="33"/>
      <c r="Q9" s="8"/>
      <c r="R9" s="8"/>
      <c r="S9" s="8"/>
      <c r="T9" s="7"/>
      <c r="U9" s="7"/>
      <c r="V9" s="7"/>
      <c r="W9" s="7"/>
      <c r="AE9" s="251"/>
    </row>
    <row r="10" spans="1:31" s="32" customFormat="1" ht="15.75">
      <c r="A10" s="33"/>
      <c r="Q10" s="8"/>
      <c r="R10" s="8"/>
      <c r="S10" s="8"/>
      <c r="T10" s="7"/>
      <c r="U10" s="7"/>
      <c r="V10" s="7"/>
      <c r="W10" s="7"/>
      <c r="AC10" s="357" t="s">
        <v>593</v>
      </c>
      <c r="AE10" s="251" t="s">
        <v>770</v>
      </c>
    </row>
    <row r="11" spans="1:23" s="32" customFormat="1" ht="16.5">
      <c r="A11" s="670" t="s">
        <v>202</v>
      </c>
      <c r="B11" s="670"/>
      <c r="C11" s="670"/>
      <c r="D11" s="670"/>
      <c r="E11" s="670"/>
      <c r="F11" s="670"/>
      <c r="G11" s="670"/>
      <c r="H11" s="670"/>
      <c r="I11" s="670"/>
      <c r="J11" s="670"/>
      <c r="K11" s="670"/>
      <c r="L11" s="670"/>
      <c r="M11" s="670"/>
      <c r="N11" s="670"/>
      <c r="Q11" s="8"/>
      <c r="R11" s="8"/>
      <c r="S11" s="8"/>
      <c r="T11" s="7"/>
      <c r="U11" s="7"/>
      <c r="V11" s="7"/>
      <c r="W11" s="7"/>
    </row>
    <row r="12" spans="1:34" s="32" customFormat="1" ht="16.5">
      <c r="A12" s="657" t="str">
        <f>1!A14:U14</f>
        <v>Инвестиционная программа Филиала "Железноводские электрические сети" ООО "КЭУК".</v>
      </c>
      <c r="B12" s="657"/>
      <c r="C12" s="657"/>
      <c r="D12" s="657"/>
      <c r="E12" s="657"/>
      <c r="F12" s="657"/>
      <c r="G12" s="657"/>
      <c r="H12" s="657"/>
      <c r="I12" s="657"/>
      <c r="J12" s="657"/>
      <c r="K12" s="657"/>
      <c r="L12" s="657"/>
      <c r="M12" s="657"/>
      <c r="N12" s="657"/>
      <c r="O12" s="82"/>
      <c r="P12" s="82"/>
      <c r="Q12" s="82"/>
      <c r="R12" s="82"/>
      <c r="S12" s="82"/>
      <c r="T12" s="82"/>
      <c r="U12" s="82"/>
      <c r="V12" s="82"/>
      <c r="W12" s="82"/>
      <c r="X12" s="82"/>
      <c r="Y12" s="82"/>
      <c r="Z12" s="82"/>
      <c r="AA12" s="82"/>
      <c r="AB12" s="82"/>
      <c r="AC12" s="82"/>
      <c r="AD12" s="82"/>
      <c r="AE12" s="82"/>
      <c r="AF12" s="82"/>
      <c r="AG12" s="82"/>
      <c r="AH12" s="82"/>
    </row>
    <row r="13" spans="1:34" s="32" customFormat="1" ht="15.75">
      <c r="A13" s="542" t="s">
        <v>109</v>
      </c>
      <c r="B13" s="542"/>
      <c r="C13" s="542"/>
      <c r="D13" s="542"/>
      <c r="E13" s="542"/>
      <c r="F13" s="542"/>
      <c r="G13" s="542"/>
      <c r="H13" s="542"/>
      <c r="I13" s="542"/>
      <c r="J13" s="542"/>
      <c r="K13" s="542"/>
      <c r="L13" s="542"/>
      <c r="M13" s="542"/>
      <c r="N13" s="542"/>
      <c r="O13" s="76"/>
      <c r="P13" s="76"/>
      <c r="Q13" s="76"/>
      <c r="R13" s="76"/>
      <c r="S13" s="76"/>
      <c r="T13" s="76"/>
      <c r="U13" s="76"/>
      <c r="V13" s="76"/>
      <c r="W13" s="76"/>
      <c r="X13" s="76"/>
      <c r="Y13" s="76"/>
      <c r="Z13" s="76"/>
      <c r="AA13" s="76"/>
      <c r="AB13" s="76"/>
      <c r="AC13" s="76"/>
      <c r="AD13" s="76"/>
      <c r="AE13" s="76"/>
      <c r="AF13" s="76"/>
      <c r="AG13" s="76"/>
      <c r="AH13" s="76"/>
    </row>
    <row r="14" spans="1:29" s="32" customFormat="1" ht="15.75">
      <c r="A14" s="724"/>
      <c r="B14" s="724"/>
      <c r="C14" s="724"/>
      <c r="D14" s="724"/>
      <c r="E14" s="724"/>
      <c r="F14" s="724"/>
      <c r="G14" s="724"/>
      <c r="H14" s="724"/>
      <c r="I14" s="724"/>
      <c r="J14" s="724"/>
      <c r="K14" s="724"/>
      <c r="L14" s="724"/>
      <c r="M14" s="724"/>
      <c r="N14" s="724"/>
      <c r="O14" s="33"/>
      <c r="P14" s="33"/>
      <c r="Q14" s="33"/>
      <c r="R14" s="33"/>
      <c r="S14" s="33"/>
      <c r="T14" s="33"/>
      <c r="U14" s="33"/>
      <c r="V14" s="33"/>
      <c r="W14" s="33"/>
      <c r="X14" s="33"/>
      <c r="Y14" s="33"/>
      <c r="Z14" s="33"/>
      <c r="AA14" s="33"/>
      <c r="AB14" s="33"/>
      <c r="AC14" s="33"/>
    </row>
    <row r="15" spans="1:34" s="34" customFormat="1" ht="15.75" customHeight="1">
      <c r="A15" s="664" t="str">
        <f>1!A17:U17</f>
        <v>Год раскрытия информации: 2018 год</v>
      </c>
      <c r="B15" s="664"/>
      <c r="C15" s="664"/>
      <c r="D15" s="664"/>
      <c r="E15" s="664"/>
      <c r="F15" s="664"/>
      <c r="G15" s="664"/>
      <c r="H15" s="664"/>
      <c r="I15" s="664"/>
      <c r="J15" s="664"/>
      <c r="K15" s="664"/>
      <c r="L15" s="664"/>
      <c r="M15" s="664"/>
      <c r="N15" s="664"/>
      <c r="O15" s="12"/>
      <c r="P15" s="12"/>
      <c r="Q15" s="12"/>
      <c r="R15" s="12"/>
      <c r="S15" s="12"/>
      <c r="T15" s="12"/>
      <c r="U15" s="12"/>
      <c r="V15" s="12"/>
      <c r="W15" s="12"/>
      <c r="X15" s="12"/>
      <c r="Y15" s="12"/>
      <c r="Z15" s="12"/>
      <c r="AA15" s="12"/>
      <c r="AB15" s="12"/>
      <c r="AC15" s="12"/>
      <c r="AD15" s="12"/>
      <c r="AE15" s="12"/>
      <c r="AF15" s="12"/>
      <c r="AG15" s="12"/>
      <c r="AH15" s="12"/>
    </row>
    <row r="16" spans="1:29" s="32" customFormat="1" ht="19.5" thickBot="1">
      <c r="A16" s="725"/>
      <c r="B16" s="725"/>
      <c r="C16" s="725"/>
      <c r="D16" s="725"/>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row>
    <row r="17" spans="1:31" s="32" customFormat="1" ht="69.75" customHeight="1">
      <c r="A17" s="732" t="s">
        <v>604</v>
      </c>
      <c r="B17" s="734" t="s">
        <v>452</v>
      </c>
      <c r="C17" s="717" t="s">
        <v>113</v>
      </c>
      <c r="D17" s="721" t="s">
        <v>529</v>
      </c>
      <c r="E17" s="719" t="s">
        <v>569</v>
      </c>
      <c r="F17" s="719" t="s">
        <v>564</v>
      </c>
      <c r="G17" s="719" t="s">
        <v>120</v>
      </c>
      <c r="H17" s="548" t="s">
        <v>511</v>
      </c>
      <c r="I17" s="548"/>
      <c r="J17" s="548"/>
      <c r="K17" s="548"/>
      <c r="L17" s="548" t="s">
        <v>510</v>
      </c>
      <c r="M17" s="548"/>
      <c r="N17" s="730" t="s">
        <v>468</v>
      </c>
      <c r="O17" s="730" t="s">
        <v>467</v>
      </c>
      <c r="P17" s="715" t="s">
        <v>402</v>
      </c>
      <c r="Q17" s="716" t="s">
        <v>122</v>
      </c>
      <c r="R17" s="716"/>
      <c r="S17" s="713" t="s">
        <v>571</v>
      </c>
      <c r="T17" s="713" t="s">
        <v>567</v>
      </c>
      <c r="U17" s="731" t="s">
        <v>563</v>
      </c>
      <c r="V17" s="731"/>
      <c r="W17" s="731"/>
      <c r="X17" s="731"/>
      <c r="Y17" s="731"/>
      <c r="Z17" s="731"/>
      <c r="AA17" s="726" t="s">
        <v>123</v>
      </c>
      <c r="AB17" s="727"/>
      <c r="AC17" s="548" t="s">
        <v>568</v>
      </c>
      <c r="AD17" s="548" t="s">
        <v>125</v>
      </c>
      <c r="AE17" s="549"/>
    </row>
    <row r="18" spans="1:31" s="30" customFormat="1" ht="56.25" customHeight="1">
      <c r="A18" s="733"/>
      <c r="B18" s="535"/>
      <c r="C18" s="535"/>
      <c r="D18" s="722"/>
      <c r="E18" s="720"/>
      <c r="F18" s="720"/>
      <c r="G18" s="720"/>
      <c r="H18" s="540" t="s">
        <v>559</v>
      </c>
      <c r="I18" s="540" t="s">
        <v>560</v>
      </c>
      <c r="J18" s="540" t="s">
        <v>561</v>
      </c>
      <c r="K18" s="541" t="s">
        <v>562</v>
      </c>
      <c r="L18" s="540"/>
      <c r="M18" s="540"/>
      <c r="N18" s="675"/>
      <c r="O18" s="675"/>
      <c r="P18" s="673"/>
      <c r="Q18" s="680"/>
      <c r="R18" s="680"/>
      <c r="S18" s="686"/>
      <c r="T18" s="686"/>
      <c r="U18" s="688" t="s">
        <v>418</v>
      </c>
      <c r="V18" s="688"/>
      <c r="W18" s="676" t="s">
        <v>419</v>
      </c>
      <c r="X18" s="676"/>
      <c r="Y18" s="677" t="s">
        <v>532</v>
      </c>
      <c r="Z18" s="679"/>
      <c r="AA18" s="728"/>
      <c r="AB18" s="729"/>
      <c r="AC18" s="540"/>
      <c r="AD18" s="540"/>
      <c r="AE18" s="712"/>
    </row>
    <row r="19" spans="1:31" s="30" customFormat="1" ht="201.75" customHeight="1" thickBot="1">
      <c r="A19" s="733"/>
      <c r="B19" s="718"/>
      <c r="C19" s="718"/>
      <c r="D19" s="723"/>
      <c r="E19" s="720"/>
      <c r="F19" s="720"/>
      <c r="G19" s="720"/>
      <c r="H19" s="541"/>
      <c r="I19" s="541"/>
      <c r="J19" s="541"/>
      <c r="K19" s="714"/>
      <c r="L19" s="350" t="s">
        <v>509</v>
      </c>
      <c r="M19" s="97" t="s">
        <v>466</v>
      </c>
      <c r="N19" s="672"/>
      <c r="O19" s="672"/>
      <c r="P19" s="673"/>
      <c r="Q19" s="348" t="s">
        <v>424</v>
      </c>
      <c r="R19" s="348" t="s">
        <v>121</v>
      </c>
      <c r="S19" s="686"/>
      <c r="T19" s="686"/>
      <c r="U19" s="366" t="s">
        <v>457</v>
      </c>
      <c r="V19" s="366" t="s">
        <v>458</v>
      </c>
      <c r="W19" s="366" t="s">
        <v>457</v>
      </c>
      <c r="X19" s="366" t="s">
        <v>458</v>
      </c>
      <c r="Y19" s="350" t="s">
        <v>457</v>
      </c>
      <c r="Z19" s="367" t="s">
        <v>458</v>
      </c>
      <c r="AA19" s="350" t="s">
        <v>457</v>
      </c>
      <c r="AB19" s="367" t="s">
        <v>458</v>
      </c>
      <c r="AC19" s="541"/>
      <c r="AD19" s="368" t="s">
        <v>124</v>
      </c>
      <c r="AE19" s="369" t="s">
        <v>570</v>
      </c>
    </row>
    <row r="20" spans="1:31" s="35" customFormat="1" ht="16.5" thickBot="1">
      <c r="A20" s="370">
        <v>1</v>
      </c>
      <c r="B20" s="199">
        <v>2</v>
      </c>
      <c r="C20" s="199">
        <v>3</v>
      </c>
      <c r="D20" s="199">
        <v>4</v>
      </c>
      <c r="E20" s="199">
        <v>5</v>
      </c>
      <c r="F20" s="199">
        <v>6</v>
      </c>
      <c r="G20" s="199">
        <v>7</v>
      </c>
      <c r="H20" s="199">
        <v>8</v>
      </c>
      <c r="I20" s="199">
        <v>9</v>
      </c>
      <c r="J20" s="199">
        <v>10</v>
      </c>
      <c r="K20" s="199">
        <v>11</v>
      </c>
      <c r="L20" s="199">
        <v>12</v>
      </c>
      <c r="M20" s="199">
        <v>13</v>
      </c>
      <c r="N20" s="199">
        <v>14</v>
      </c>
      <c r="O20" s="199">
        <v>15</v>
      </c>
      <c r="P20" s="199">
        <v>16</v>
      </c>
      <c r="Q20" s="199">
        <v>17</v>
      </c>
      <c r="R20" s="199">
        <v>18</v>
      </c>
      <c r="S20" s="199">
        <v>19</v>
      </c>
      <c r="T20" s="199">
        <v>20</v>
      </c>
      <c r="U20" s="199">
        <v>21</v>
      </c>
      <c r="V20" s="199">
        <v>22</v>
      </c>
      <c r="W20" s="199">
        <v>23</v>
      </c>
      <c r="X20" s="199">
        <v>24</v>
      </c>
      <c r="Y20" s="199">
        <v>25</v>
      </c>
      <c r="Z20" s="199">
        <v>26</v>
      </c>
      <c r="AA20" s="199">
        <v>27</v>
      </c>
      <c r="AB20" s="199">
        <v>28</v>
      </c>
      <c r="AC20" s="199">
        <v>29</v>
      </c>
      <c r="AD20" s="199">
        <v>30</v>
      </c>
      <c r="AE20" s="371">
        <v>31</v>
      </c>
    </row>
    <row r="21" spans="1:31" s="328" customFormat="1" ht="31.5">
      <c r="A21" s="323"/>
      <c r="B21" s="194" t="s">
        <v>475</v>
      </c>
      <c r="C21" s="324" t="s">
        <v>261</v>
      </c>
      <c r="D21" s="419"/>
      <c r="E21" s="419" t="s">
        <v>368</v>
      </c>
      <c r="F21" s="419" t="s">
        <v>368</v>
      </c>
      <c r="G21" s="419" t="s">
        <v>368</v>
      </c>
      <c r="H21" s="419" t="s">
        <v>368</v>
      </c>
      <c r="I21" s="419" t="s">
        <v>368</v>
      </c>
      <c r="J21" s="419" t="s">
        <v>368</v>
      </c>
      <c r="K21" s="419" t="s">
        <v>368</v>
      </c>
      <c r="L21" s="419" t="s">
        <v>249</v>
      </c>
      <c r="M21" s="419" t="s">
        <v>249</v>
      </c>
      <c r="N21" s="419" t="s">
        <v>249</v>
      </c>
      <c r="O21" s="419" t="s">
        <v>249</v>
      </c>
      <c r="P21" s="419" t="s">
        <v>368</v>
      </c>
      <c r="Q21" s="419" t="s">
        <v>368</v>
      </c>
      <c r="R21" s="419" t="s">
        <v>368</v>
      </c>
      <c r="S21" s="419" t="s">
        <v>368</v>
      </c>
      <c r="T21" s="419" t="s">
        <v>368</v>
      </c>
      <c r="U21" s="419" t="s">
        <v>368</v>
      </c>
      <c r="V21" s="419" t="s">
        <v>368</v>
      </c>
      <c r="W21" s="419" t="s">
        <v>368</v>
      </c>
      <c r="X21" s="419" t="s">
        <v>368</v>
      </c>
      <c r="Y21" s="419" t="s">
        <v>368</v>
      </c>
      <c r="Z21" s="419" t="s">
        <v>368</v>
      </c>
      <c r="AA21" s="419" t="s">
        <v>368</v>
      </c>
      <c r="AB21" s="419" t="s">
        <v>368</v>
      </c>
      <c r="AC21" s="419" t="s">
        <v>368</v>
      </c>
      <c r="AD21" s="419" t="s">
        <v>368</v>
      </c>
      <c r="AE21" s="420" t="s">
        <v>368</v>
      </c>
    </row>
    <row r="22" spans="1:31" s="328" customFormat="1" ht="31.5">
      <c r="A22" s="207" t="s">
        <v>476</v>
      </c>
      <c r="B22" s="159" t="s">
        <v>477</v>
      </c>
      <c r="C22" s="173" t="s">
        <v>261</v>
      </c>
      <c r="D22" s="421"/>
      <c r="E22" s="421" t="s">
        <v>368</v>
      </c>
      <c r="F22" s="421" t="s">
        <v>368</v>
      </c>
      <c r="G22" s="421" t="s">
        <v>368</v>
      </c>
      <c r="H22" s="421" t="s">
        <v>368</v>
      </c>
      <c r="I22" s="421" t="s">
        <v>368</v>
      </c>
      <c r="J22" s="421" t="s">
        <v>368</v>
      </c>
      <c r="K22" s="421" t="s">
        <v>368</v>
      </c>
      <c r="L22" s="421" t="s">
        <v>249</v>
      </c>
      <c r="M22" s="421" t="s">
        <v>249</v>
      </c>
      <c r="N22" s="421" t="s">
        <v>249</v>
      </c>
      <c r="O22" s="421" t="s">
        <v>249</v>
      </c>
      <c r="P22" s="421" t="s">
        <v>368</v>
      </c>
      <c r="Q22" s="421" t="s">
        <v>368</v>
      </c>
      <c r="R22" s="421" t="s">
        <v>368</v>
      </c>
      <c r="S22" s="421" t="s">
        <v>368</v>
      </c>
      <c r="T22" s="421" t="s">
        <v>368</v>
      </c>
      <c r="U22" s="421" t="s">
        <v>368</v>
      </c>
      <c r="V22" s="421" t="s">
        <v>368</v>
      </c>
      <c r="W22" s="421" t="s">
        <v>368</v>
      </c>
      <c r="X22" s="421" t="s">
        <v>368</v>
      </c>
      <c r="Y22" s="421" t="s">
        <v>368</v>
      </c>
      <c r="Z22" s="421" t="s">
        <v>368</v>
      </c>
      <c r="AA22" s="421" t="s">
        <v>368</v>
      </c>
      <c r="AB22" s="421" t="s">
        <v>368</v>
      </c>
      <c r="AC22" s="421" t="s">
        <v>368</v>
      </c>
      <c r="AD22" s="421" t="s">
        <v>368</v>
      </c>
      <c r="AE22" s="422" t="s">
        <v>368</v>
      </c>
    </row>
    <row r="23" spans="1:31" s="328" customFormat="1" ht="31.5">
      <c r="A23" s="207" t="s">
        <v>478</v>
      </c>
      <c r="B23" s="159" t="s">
        <v>479</v>
      </c>
      <c r="C23" s="173" t="s">
        <v>261</v>
      </c>
      <c r="D23" s="421"/>
      <c r="E23" s="421" t="s">
        <v>368</v>
      </c>
      <c r="F23" s="421" t="s">
        <v>368</v>
      </c>
      <c r="G23" s="421" t="s">
        <v>368</v>
      </c>
      <c r="H23" s="421" t="s">
        <v>368</v>
      </c>
      <c r="I23" s="421" t="s">
        <v>368</v>
      </c>
      <c r="J23" s="421" t="s">
        <v>368</v>
      </c>
      <c r="K23" s="421" t="s">
        <v>368</v>
      </c>
      <c r="L23" s="421" t="s">
        <v>249</v>
      </c>
      <c r="M23" s="421" t="s">
        <v>249</v>
      </c>
      <c r="N23" s="421" t="s">
        <v>249</v>
      </c>
      <c r="O23" s="421" t="s">
        <v>249</v>
      </c>
      <c r="P23" s="421" t="s">
        <v>368</v>
      </c>
      <c r="Q23" s="421" t="s">
        <v>368</v>
      </c>
      <c r="R23" s="421" t="s">
        <v>368</v>
      </c>
      <c r="S23" s="421" t="s">
        <v>368</v>
      </c>
      <c r="T23" s="421" t="s">
        <v>368</v>
      </c>
      <c r="U23" s="421" t="s">
        <v>368</v>
      </c>
      <c r="V23" s="421" t="s">
        <v>368</v>
      </c>
      <c r="W23" s="421" t="s">
        <v>368</v>
      </c>
      <c r="X23" s="421" t="s">
        <v>368</v>
      </c>
      <c r="Y23" s="421" t="s">
        <v>368</v>
      </c>
      <c r="Z23" s="421" t="s">
        <v>368</v>
      </c>
      <c r="AA23" s="421" t="s">
        <v>368</v>
      </c>
      <c r="AB23" s="421" t="s">
        <v>368</v>
      </c>
      <c r="AC23" s="421" t="s">
        <v>368</v>
      </c>
      <c r="AD23" s="421" t="s">
        <v>368</v>
      </c>
      <c r="AE23" s="422" t="s">
        <v>368</v>
      </c>
    </row>
    <row r="24" spans="1:31" s="328" customFormat="1" ht="78.75">
      <c r="A24" s="207" t="s">
        <v>480</v>
      </c>
      <c r="B24" s="159" t="s">
        <v>481</v>
      </c>
      <c r="C24" s="173" t="s">
        <v>261</v>
      </c>
      <c r="D24" s="421"/>
      <c r="E24" s="421" t="s">
        <v>368</v>
      </c>
      <c r="F24" s="421" t="s">
        <v>368</v>
      </c>
      <c r="G24" s="421" t="s">
        <v>368</v>
      </c>
      <c r="H24" s="421" t="s">
        <v>368</v>
      </c>
      <c r="I24" s="421" t="s">
        <v>368</v>
      </c>
      <c r="J24" s="421" t="s">
        <v>368</v>
      </c>
      <c r="K24" s="421" t="s">
        <v>368</v>
      </c>
      <c r="L24" s="421" t="s">
        <v>249</v>
      </c>
      <c r="M24" s="421" t="s">
        <v>249</v>
      </c>
      <c r="N24" s="421" t="s">
        <v>249</v>
      </c>
      <c r="O24" s="421" t="s">
        <v>249</v>
      </c>
      <c r="P24" s="421" t="s">
        <v>368</v>
      </c>
      <c r="Q24" s="421" t="s">
        <v>368</v>
      </c>
      <c r="R24" s="421" t="s">
        <v>368</v>
      </c>
      <c r="S24" s="421" t="s">
        <v>368</v>
      </c>
      <c r="T24" s="421" t="s">
        <v>368</v>
      </c>
      <c r="U24" s="421" t="s">
        <v>368</v>
      </c>
      <c r="V24" s="421" t="s">
        <v>368</v>
      </c>
      <c r="W24" s="421" t="s">
        <v>368</v>
      </c>
      <c r="X24" s="421" t="s">
        <v>368</v>
      </c>
      <c r="Y24" s="421" t="s">
        <v>368</v>
      </c>
      <c r="Z24" s="421" t="s">
        <v>368</v>
      </c>
      <c r="AA24" s="421" t="s">
        <v>368</v>
      </c>
      <c r="AB24" s="421" t="s">
        <v>368</v>
      </c>
      <c r="AC24" s="421" t="s">
        <v>368</v>
      </c>
      <c r="AD24" s="421" t="s">
        <v>368</v>
      </c>
      <c r="AE24" s="422" t="s">
        <v>368</v>
      </c>
    </row>
    <row r="25" spans="1:31" s="328" customFormat="1" ht="47.25">
      <c r="A25" s="207" t="s">
        <v>482</v>
      </c>
      <c r="B25" s="159" t="s">
        <v>483</v>
      </c>
      <c r="C25" s="173" t="s">
        <v>261</v>
      </c>
      <c r="D25" s="421"/>
      <c r="E25" s="421" t="s">
        <v>368</v>
      </c>
      <c r="F25" s="421" t="s">
        <v>368</v>
      </c>
      <c r="G25" s="421" t="s">
        <v>368</v>
      </c>
      <c r="H25" s="421" t="s">
        <v>368</v>
      </c>
      <c r="I25" s="421" t="s">
        <v>368</v>
      </c>
      <c r="J25" s="421" t="s">
        <v>368</v>
      </c>
      <c r="K25" s="421" t="s">
        <v>368</v>
      </c>
      <c r="L25" s="421" t="s">
        <v>249</v>
      </c>
      <c r="M25" s="421" t="s">
        <v>249</v>
      </c>
      <c r="N25" s="421" t="s">
        <v>249</v>
      </c>
      <c r="O25" s="421" t="s">
        <v>249</v>
      </c>
      <c r="P25" s="421" t="s">
        <v>368</v>
      </c>
      <c r="Q25" s="421" t="s">
        <v>368</v>
      </c>
      <c r="R25" s="421" t="s">
        <v>368</v>
      </c>
      <c r="S25" s="421" t="s">
        <v>368</v>
      </c>
      <c r="T25" s="421" t="s">
        <v>368</v>
      </c>
      <c r="U25" s="421" t="s">
        <v>368</v>
      </c>
      <c r="V25" s="421" t="s">
        <v>368</v>
      </c>
      <c r="W25" s="421" t="s">
        <v>368</v>
      </c>
      <c r="X25" s="421" t="s">
        <v>368</v>
      </c>
      <c r="Y25" s="421" t="s">
        <v>368</v>
      </c>
      <c r="Z25" s="421" t="s">
        <v>368</v>
      </c>
      <c r="AA25" s="421" t="s">
        <v>368</v>
      </c>
      <c r="AB25" s="421" t="s">
        <v>368</v>
      </c>
      <c r="AC25" s="421" t="s">
        <v>368</v>
      </c>
      <c r="AD25" s="421" t="s">
        <v>368</v>
      </c>
      <c r="AE25" s="422" t="s">
        <v>368</v>
      </c>
    </row>
    <row r="26" spans="1:31" s="328" customFormat="1" ht="47.25">
      <c r="A26" s="207" t="s">
        <v>484</v>
      </c>
      <c r="B26" s="160" t="s">
        <v>485</v>
      </c>
      <c r="C26" s="173" t="s">
        <v>261</v>
      </c>
      <c r="D26" s="421"/>
      <c r="E26" s="421" t="s">
        <v>368</v>
      </c>
      <c r="F26" s="421" t="s">
        <v>368</v>
      </c>
      <c r="G26" s="421" t="s">
        <v>368</v>
      </c>
      <c r="H26" s="421" t="s">
        <v>368</v>
      </c>
      <c r="I26" s="421" t="s">
        <v>368</v>
      </c>
      <c r="J26" s="421" t="s">
        <v>368</v>
      </c>
      <c r="K26" s="421" t="s">
        <v>368</v>
      </c>
      <c r="L26" s="421" t="s">
        <v>249</v>
      </c>
      <c r="M26" s="421" t="s">
        <v>249</v>
      </c>
      <c r="N26" s="421" t="s">
        <v>249</v>
      </c>
      <c r="O26" s="421" t="s">
        <v>249</v>
      </c>
      <c r="P26" s="421" t="s">
        <v>368</v>
      </c>
      <c r="Q26" s="421" t="s">
        <v>368</v>
      </c>
      <c r="R26" s="421" t="s">
        <v>368</v>
      </c>
      <c r="S26" s="421" t="s">
        <v>368</v>
      </c>
      <c r="T26" s="421" t="s">
        <v>368</v>
      </c>
      <c r="U26" s="421" t="s">
        <v>368</v>
      </c>
      <c r="V26" s="421" t="s">
        <v>368</v>
      </c>
      <c r="W26" s="421" t="s">
        <v>368</v>
      </c>
      <c r="X26" s="421" t="s">
        <v>368</v>
      </c>
      <c r="Y26" s="421" t="s">
        <v>368</v>
      </c>
      <c r="Z26" s="421" t="s">
        <v>368</v>
      </c>
      <c r="AA26" s="421" t="s">
        <v>368</v>
      </c>
      <c r="AB26" s="421" t="s">
        <v>368</v>
      </c>
      <c r="AC26" s="421" t="s">
        <v>368</v>
      </c>
      <c r="AD26" s="421" t="s">
        <v>368</v>
      </c>
      <c r="AE26" s="422" t="s">
        <v>368</v>
      </c>
    </row>
    <row r="27" spans="1:31" s="328" customFormat="1" ht="31.5">
      <c r="A27" s="207" t="s">
        <v>486</v>
      </c>
      <c r="B27" s="160" t="s">
        <v>487</v>
      </c>
      <c r="C27" s="173" t="s">
        <v>261</v>
      </c>
      <c r="D27" s="421"/>
      <c r="E27" s="421" t="s">
        <v>368</v>
      </c>
      <c r="F27" s="421" t="s">
        <v>368</v>
      </c>
      <c r="G27" s="421" t="s">
        <v>368</v>
      </c>
      <c r="H27" s="421" t="s">
        <v>368</v>
      </c>
      <c r="I27" s="421" t="s">
        <v>368</v>
      </c>
      <c r="J27" s="421" t="s">
        <v>368</v>
      </c>
      <c r="K27" s="421" t="s">
        <v>368</v>
      </c>
      <c r="L27" s="421" t="s">
        <v>249</v>
      </c>
      <c r="M27" s="421" t="s">
        <v>249</v>
      </c>
      <c r="N27" s="421" t="s">
        <v>249</v>
      </c>
      <c r="O27" s="421" t="s">
        <v>249</v>
      </c>
      <c r="P27" s="421" t="s">
        <v>368</v>
      </c>
      <c r="Q27" s="421" t="s">
        <v>368</v>
      </c>
      <c r="R27" s="421" t="s">
        <v>368</v>
      </c>
      <c r="S27" s="421" t="s">
        <v>368</v>
      </c>
      <c r="T27" s="421" t="s">
        <v>368</v>
      </c>
      <c r="U27" s="421" t="s">
        <v>368</v>
      </c>
      <c r="V27" s="421" t="s">
        <v>368</v>
      </c>
      <c r="W27" s="421" t="s">
        <v>368</v>
      </c>
      <c r="X27" s="421" t="s">
        <v>368</v>
      </c>
      <c r="Y27" s="421" t="s">
        <v>368</v>
      </c>
      <c r="Z27" s="421" t="s">
        <v>368</v>
      </c>
      <c r="AA27" s="421" t="s">
        <v>368</v>
      </c>
      <c r="AB27" s="421" t="s">
        <v>368</v>
      </c>
      <c r="AC27" s="421" t="s">
        <v>368</v>
      </c>
      <c r="AD27" s="421" t="s">
        <v>368</v>
      </c>
      <c r="AE27" s="422" t="s">
        <v>368</v>
      </c>
    </row>
    <row r="28" spans="1:31" s="328" customFormat="1" ht="47.25">
      <c r="A28" s="207" t="s">
        <v>284</v>
      </c>
      <c r="B28" s="161" t="s">
        <v>260</v>
      </c>
      <c r="C28" s="173" t="s">
        <v>261</v>
      </c>
      <c r="D28" s="421"/>
      <c r="E28" s="421" t="s">
        <v>368</v>
      </c>
      <c r="F28" s="421" t="s">
        <v>368</v>
      </c>
      <c r="G28" s="421" t="s">
        <v>368</v>
      </c>
      <c r="H28" s="421" t="s">
        <v>368</v>
      </c>
      <c r="I28" s="421" t="s">
        <v>368</v>
      </c>
      <c r="J28" s="421" t="s">
        <v>368</v>
      </c>
      <c r="K28" s="421" t="s">
        <v>368</v>
      </c>
      <c r="L28" s="421" t="s">
        <v>249</v>
      </c>
      <c r="M28" s="421" t="s">
        <v>249</v>
      </c>
      <c r="N28" s="421" t="s">
        <v>249</v>
      </c>
      <c r="O28" s="421" t="s">
        <v>249</v>
      </c>
      <c r="P28" s="421" t="s">
        <v>368</v>
      </c>
      <c r="Q28" s="421" t="s">
        <v>368</v>
      </c>
      <c r="R28" s="421" t="s">
        <v>368</v>
      </c>
      <c r="S28" s="421" t="s">
        <v>368</v>
      </c>
      <c r="T28" s="421" t="s">
        <v>368</v>
      </c>
      <c r="U28" s="421" t="s">
        <v>368</v>
      </c>
      <c r="V28" s="421" t="s">
        <v>368</v>
      </c>
      <c r="W28" s="421" t="s">
        <v>368</v>
      </c>
      <c r="X28" s="421" t="s">
        <v>368</v>
      </c>
      <c r="Y28" s="421" t="s">
        <v>368</v>
      </c>
      <c r="Z28" s="421" t="s">
        <v>368</v>
      </c>
      <c r="AA28" s="421" t="s">
        <v>368</v>
      </c>
      <c r="AB28" s="421" t="s">
        <v>368</v>
      </c>
      <c r="AC28" s="421" t="s">
        <v>368</v>
      </c>
      <c r="AD28" s="421" t="s">
        <v>368</v>
      </c>
      <c r="AE28" s="422" t="s">
        <v>368</v>
      </c>
    </row>
    <row r="29" spans="1:31" s="328" customFormat="1" ht="47.25">
      <c r="A29" s="207" t="s">
        <v>285</v>
      </c>
      <c r="B29" s="161" t="s">
        <v>263</v>
      </c>
      <c r="C29" s="173" t="s">
        <v>261</v>
      </c>
      <c r="D29" s="421"/>
      <c r="E29" s="421" t="s">
        <v>368</v>
      </c>
      <c r="F29" s="421" t="s">
        <v>368</v>
      </c>
      <c r="G29" s="421" t="s">
        <v>368</v>
      </c>
      <c r="H29" s="421" t="s">
        <v>368</v>
      </c>
      <c r="I29" s="421" t="s">
        <v>368</v>
      </c>
      <c r="J29" s="421" t="s">
        <v>368</v>
      </c>
      <c r="K29" s="421" t="s">
        <v>368</v>
      </c>
      <c r="L29" s="421" t="s">
        <v>249</v>
      </c>
      <c r="M29" s="421" t="s">
        <v>249</v>
      </c>
      <c r="N29" s="421" t="s">
        <v>249</v>
      </c>
      <c r="O29" s="421" t="s">
        <v>249</v>
      </c>
      <c r="P29" s="421" t="s">
        <v>368</v>
      </c>
      <c r="Q29" s="421" t="s">
        <v>368</v>
      </c>
      <c r="R29" s="421" t="s">
        <v>368</v>
      </c>
      <c r="S29" s="421" t="s">
        <v>368</v>
      </c>
      <c r="T29" s="421" t="s">
        <v>368</v>
      </c>
      <c r="U29" s="421" t="s">
        <v>368</v>
      </c>
      <c r="V29" s="421" t="s">
        <v>368</v>
      </c>
      <c r="W29" s="421" t="s">
        <v>368</v>
      </c>
      <c r="X29" s="421" t="s">
        <v>368</v>
      </c>
      <c r="Y29" s="421" t="s">
        <v>368</v>
      </c>
      <c r="Z29" s="421" t="s">
        <v>368</v>
      </c>
      <c r="AA29" s="421" t="s">
        <v>368</v>
      </c>
      <c r="AB29" s="421" t="s">
        <v>368</v>
      </c>
      <c r="AC29" s="421" t="s">
        <v>368</v>
      </c>
      <c r="AD29" s="421" t="s">
        <v>368</v>
      </c>
      <c r="AE29" s="422" t="s">
        <v>368</v>
      </c>
    </row>
    <row r="30" spans="1:31" s="329" customFormat="1" ht="78.75">
      <c r="A30" s="188" t="str">
        <f>1!A33</f>
        <v>1.1</v>
      </c>
      <c r="B30" s="423" t="str">
        <f>1!B33</f>
        <v>Реконструкция ВЛ-0,4 кВ ул.Шоссейная, п.Иноземцево, (и/н 0000467), СИП-2 3х50+1х54,6 - 0,418 км, СИП-2 3х35+1х54,6 - 0,366 км и СИП-4 2х16 - 0,575 км</v>
      </c>
      <c r="C30" s="67" t="str">
        <f>1!C33</f>
        <v>G_Gelezno_001</v>
      </c>
      <c r="D30" s="424"/>
      <c r="E30" s="425" t="s">
        <v>368</v>
      </c>
      <c r="F30" s="425" t="s">
        <v>368</v>
      </c>
      <c r="G30" s="425" t="s">
        <v>368</v>
      </c>
      <c r="H30" s="425" t="s">
        <v>368</v>
      </c>
      <c r="I30" s="425" t="s">
        <v>368</v>
      </c>
      <c r="J30" s="425" t="s">
        <v>368</v>
      </c>
      <c r="K30" s="425" t="s">
        <v>368</v>
      </c>
      <c r="L30" s="421" t="s">
        <v>249</v>
      </c>
      <c r="M30" s="421" t="s">
        <v>249</v>
      </c>
      <c r="N30" s="421" t="s">
        <v>249</v>
      </c>
      <c r="O30" s="421" t="s">
        <v>249</v>
      </c>
      <c r="P30" s="424" t="s">
        <v>249</v>
      </c>
      <c r="Q30" s="424" t="s">
        <v>368</v>
      </c>
      <c r="R30" s="424" t="s">
        <v>368</v>
      </c>
      <c r="S30" s="424" t="s">
        <v>368</v>
      </c>
      <c r="T30" s="424" t="s">
        <v>368</v>
      </c>
      <c r="U30" s="424" t="s">
        <v>368</v>
      </c>
      <c r="V30" s="424" t="s">
        <v>368</v>
      </c>
      <c r="W30" s="424" t="s">
        <v>368</v>
      </c>
      <c r="X30" s="424" t="s">
        <v>368</v>
      </c>
      <c r="Y30" s="424" t="s">
        <v>368</v>
      </c>
      <c r="Z30" s="424" t="s">
        <v>368</v>
      </c>
      <c r="AA30" s="424" t="s">
        <v>368</v>
      </c>
      <c r="AB30" s="424" t="s">
        <v>368</v>
      </c>
      <c r="AC30" s="434" t="s">
        <v>596</v>
      </c>
      <c r="AD30" s="424"/>
      <c r="AE30" s="427" t="s">
        <v>139</v>
      </c>
    </row>
    <row r="31" spans="1:31" s="329" customFormat="1" ht="78.75">
      <c r="A31" s="188" t="str">
        <f>1!A34</f>
        <v>1.1</v>
      </c>
      <c r="B31" s="423" t="str">
        <f>1!B34</f>
        <v>Реконструкция ВЛ-0,4 кВ ул.Р.Люксембург, г.Железноводск, (и/н 0000305), СИП-2 3х35+1х54,6 - 0,367 км и СИП-4 2х16 - 0,45 км</v>
      </c>
      <c r="C31" s="67" t="str">
        <f>1!C34</f>
        <v>G_Gelezno_002</v>
      </c>
      <c r="D31" s="424"/>
      <c r="E31" s="425" t="s">
        <v>368</v>
      </c>
      <c r="F31" s="425" t="s">
        <v>368</v>
      </c>
      <c r="G31" s="425" t="s">
        <v>368</v>
      </c>
      <c r="H31" s="425" t="s">
        <v>368</v>
      </c>
      <c r="I31" s="425" t="s">
        <v>368</v>
      </c>
      <c r="J31" s="425" t="s">
        <v>368</v>
      </c>
      <c r="K31" s="425" t="s">
        <v>368</v>
      </c>
      <c r="L31" s="421" t="s">
        <v>249</v>
      </c>
      <c r="M31" s="421" t="s">
        <v>249</v>
      </c>
      <c r="N31" s="421" t="s">
        <v>249</v>
      </c>
      <c r="O31" s="421" t="s">
        <v>249</v>
      </c>
      <c r="P31" s="424" t="s">
        <v>249</v>
      </c>
      <c r="Q31" s="424" t="s">
        <v>368</v>
      </c>
      <c r="R31" s="424" t="s">
        <v>368</v>
      </c>
      <c r="S31" s="424" t="s">
        <v>368</v>
      </c>
      <c r="T31" s="424" t="s">
        <v>368</v>
      </c>
      <c r="U31" s="424" t="s">
        <v>368</v>
      </c>
      <c r="V31" s="424" t="s">
        <v>368</v>
      </c>
      <c r="W31" s="424" t="s">
        <v>368</v>
      </c>
      <c r="X31" s="424" t="s">
        <v>368</v>
      </c>
      <c r="Y31" s="424" t="s">
        <v>368</v>
      </c>
      <c r="Z31" s="424" t="s">
        <v>368</v>
      </c>
      <c r="AA31" s="424" t="s">
        <v>368</v>
      </c>
      <c r="AB31" s="424" t="s">
        <v>368</v>
      </c>
      <c r="AC31" s="434" t="s">
        <v>596</v>
      </c>
      <c r="AD31" s="424"/>
      <c r="AE31" s="427" t="s">
        <v>139</v>
      </c>
    </row>
    <row r="32" spans="1:31" s="329" customFormat="1" ht="78.75">
      <c r="A32" s="188" t="str">
        <f>1!A35</f>
        <v>1.1</v>
      </c>
      <c r="B32" s="423" t="str">
        <f>1!B35</f>
        <v>Реконструкция ВЛ-0,4 кВ ул.Свободы, п.Иноземцево, (и/н 0000450 и 0000451), СИП-2 3х35+1х54,6 - 2,35 км и СИП-4 2х16 - 2,97 км</v>
      </c>
      <c r="C32" s="67" t="str">
        <f>1!C35</f>
        <v>G_Gelezno_003</v>
      </c>
      <c r="D32" s="424"/>
      <c r="E32" s="425" t="s">
        <v>368</v>
      </c>
      <c r="F32" s="425" t="s">
        <v>368</v>
      </c>
      <c r="G32" s="425" t="s">
        <v>368</v>
      </c>
      <c r="H32" s="425" t="s">
        <v>368</v>
      </c>
      <c r="I32" s="425" t="s">
        <v>368</v>
      </c>
      <c r="J32" s="425" t="s">
        <v>368</v>
      </c>
      <c r="K32" s="425" t="s">
        <v>368</v>
      </c>
      <c r="L32" s="421" t="s">
        <v>249</v>
      </c>
      <c r="M32" s="421" t="s">
        <v>249</v>
      </c>
      <c r="N32" s="421" t="s">
        <v>249</v>
      </c>
      <c r="O32" s="421" t="s">
        <v>249</v>
      </c>
      <c r="P32" s="424" t="s">
        <v>249</v>
      </c>
      <c r="Q32" s="424" t="s">
        <v>368</v>
      </c>
      <c r="R32" s="424" t="s">
        <v>368</v>
      </c>
      <c r="S32" s="424" t="s">
        <v>368</v>
      </c>
      <c r="T32" s="424" t="s">
        <v>368</v>
      </c>
      <c r="U32" s="424" t="s">
        <v>368</v>
      </c>
      <c r="V32" s="424" t="s">
        <v>368</v>
      </c>
      <c r="W32" s="424" t="s">
        <v>368</v>
      </c>
      <c r="X32" s="424" t="s">
        <v>368</v>
      </c>
      <c r="Y32" s="424" t="s">
        <v>368</v>
      </c>
      <c r="Z32" s="424" t="s">
        <v>368</v>
      </c>
      <c r="AA32" s="424" t="s">
        <v>368</v>
      </c>
      <c r="AB32" s="424" t="s">
        <v>368</v>
      </c>
      <c r="AC32" s="434" t="s">
        <v>596</v>
      </c>
      <c r="AD32" s="424"/>
      <c r="AE32" s="427" t="s">
        <v>139</v>
      </c>
    </row>
    <row r="33" spans="1:31" s="329" customFormat="1" ht="78.75">
      <c r="A33" s="188" t="str">
        <f>1!A36</f>
        <v>1.1</v>
      </c>
      <c r="B33" s="423" t="str">
        <f>1!B36</f>
        <v>Реконструкция ВЛ-0,4 кВ ул.Свободы до озера (от ул.Шоссей-ной), п.Иноземцево, (и/н 0000453), СИП-2 3х35+1х54,6 - 2,26 км и СИП-4 2х16 - 2,17 км</v>
      </c>
      <c r="C33" s="67" t="str">
        <f>1!C36</f>
        <v>G_Gelezno_004</v>
      </c>
      <c r="D33" s="424"/>
      <c r="E33" s="425" t="s">
        <v>368</v>
      </c>
      <c r="F33" s="425" t="s">
        <v>368</v>
      </c>
      <c r="G33" s="425" t="s">
        <v>368</v>
      </c>
      <c r="H33" s="425" t="s">
        <v>368</v>
      </c>
      <c r="I33" s="425" t="s">
        <v>368</v>
      </c>
      <c r="J33" s="425" t="s">
        <v>368</v>
      </c>
      <c r="K33" s="425" t="s">
        <v>368</v>
      </c>
      <c r="L33" s="421" t="s">
        <v>249</v>
      </c>
      <c r="M33" s="421" t="s">
        <v>249</v>
      </c>
      <c r="N33" s="421" t="s">
        <v>249</v>
      </c>
      <c r="O33" s="421" t="s">
        <v>249</v>
      </c>
      <c r="P33" s="424" t="s">
        <v>249</v>
      </c>
      <c r="Q33" s="424" t="s">
        <v>368</v>
      </c>
      <c r="R33" s="424" t="s">
        <v>368</v>
      </c>
      <c r="S33" s="424" t="s">
        <v>368</v>
      </c>
      <c r="T33" s="424" t="s">
        <v>368</v>
      </c>
      <c r="U33" s="424" t="s">
        <v>368</v>
      </c>
      <c r="V33" s="424" t="s">
        <v>368</v>
      </c>
      <c r="W33" s="424" t="s">
        <v>368</v>
      </c>
      <c r="X33" s="424" t="s">
        <v>368</v>
      </c>
      <c r="Y33" s="424" t="s">
        <v>368</v>
      </c>
      <c r="Z33" s="424" t="s">
        <v>368</v>
      </c>
      <c r="AA33" s="424" t="s">
        <v>368</v>
      </c>
      <c r="AB33" s="424" t="s">
        <v>368</v>
      </c>
      <c r="AC33" s="434" t="s">
        <v>596</v>
      </c>
      <c r="AD33" s="424"/>
      <c r="AE33" s="427" t="s">
        <v>139</v>
      </c>
    </row>
    <row r="34" spans="1:31" s="329" customFormat="1" ht="78.75">
      <c r="A34" s="188" t="str">
        <f>1!A37</f>
        <v>1.1</v>
      </c>
      <c r="B34" s="423" t="str">
        <f>1!B37</f>
        <v>Реконструкция ВЛ-0,4 кВ ул.60 лет Октября, п.Иноземцево, (и/н 0000329 и 0000330), СИП-2 3х35+1х54,6 - 0,836 км и СИП-4 2х16 - 2,2 км</v>
      </c>
      <c r="C34" s="67" t="str">
        <f>1!C37</f>
        <v>G_Gelezno_005</v>
      </c>
      <c r="D34" s="424"/>
      <c r="E34" s="425" t="s">
        <v>368</v>
      </c>
      <c r="F34" s="425" t="s">
        <v>368</v>
      </c>
      <c r="G34" s="425" t="s">
        <v>368</v>
      </c>
      <c r="H34" s="425" t="s">
        <v>368</v>
      </c>
      <c r="I34" s="425" t="s">
        <v>368</v>
      </c>
      <c r="J34" s="425" t="s">
        <v>368</v>
      </c>
      <c r="K34" s="425" t="s">
        <v>368</v>
      </c>
      <c r="L34" s="421" t="s">
        <v>249</v>
      </c>
      <c r="M34" s="421" t="s">
        <v>249</v>
      </c>
      <c r="N34" s="421" t="s">
        <v>249</v>
      </c>
      <c r="O34" s="421" t="s">
        <v>249</v>
      </c>
      <c r="P34" s="424" t="s">
        <v>249</v>
      </c>
      <c r="Q34" s="424" t="s">
        <v>368</v>
      </c>
      <c r="R34" s="424" t="s">
        <v>368</v>
      </c>
      <c r="S34" s="424" t="s">
        <v>368</v>
      </c>
      <c r="T34" s="424" t="s">
        <v>368</v>
      </c>
      <c r="U34" s="424" t="s">
        <v>368</v>
      </c>
      <c r="V34" s="424" t="s">
        <v>368</v>
      </c>
      <c r="W34" s="424" t="s">
        <v>368</v>
      </c>
      <c r="X34" s="424" t="s">
        <v>368</v>
      </c>
      <c r="Y34" s="424" t="s">
        <v>368</v>
      </c>
      <c r="Z34" s="424" t="s">
        <v>368</v>
      </c>
      <c r="AA34" s="424" t="s">
        <v>368</v>
      </c>
      <c r="AB34" s="424" t="s">
        <v>368</v>
      </c>
      <c r="AC34" s="434" t="s">
        <v>596</v>
      </c>
      <c r="AD34" s="424"/>
      <c r="AE34" s="427" t="s">
        <v>139</v>
      </c>
    </row>
    <row r="35" spans="1:31" s="329" customFormat="1" ht="78.75">
      <c r="A35" s="188" t="str">
        <f>1!A38</f>
        <v>1.1</v>
      </c>
      <c r="B35" s="423" t="str">
        <f>1!B38</f>
        <v>Реконструкция ВЛ-0,4 кВ ул.К.Цеткин и/н 0000376  и  ул.Пушкина и/н 0000440 п.Иноземцево, СИП-2 3х35+1х54,6 - 2,02 км и СИП-4 2х16 - 1,42 км</v>
      </c>
      <c r="C35" s="67" t="str">
        <f>1!C38</f>
        <v>G_Gelezno_006</v>
      </c>
      <c r="D35" s="424"/>
      <c r="E35" s="425" t="s">
        <v>368</v>
      </c>
      <c r="F35" s="425" t="s">
        <v>368</v>
      </c>
      <c r="G35" s="425" t="s">
        <v>368</v>
      </c>
      <c r="H35" s="425" t="s">
        <v>368</v>
      </c>
      <c r="I35" s="425" t="s">
        <v>368</v>
      </c>
      <c r="J35" s="425" t="s">
        <v>368</v>
      </c>
      <c r="K35" s="425" t="s">
        <v>368</v>
      </c>
      <c r="L35" s="421" t="s">
        <v>249</v>
      </c>
      <c r="M35" s="421" t="s">
        <v>249</v>
      </c>
      <c r="N35" s="421" t="s">
        <v>249</v>
      </c>
      <c r="O35" s="421" t="s">
        <v>249</v>
      </c>
      <c r="P35" s="424" t="s">
        <v>249</v>
      </c>
      <c r="Q35" s="424" t="s">
        <v>368</v>
      </c>
      <c r="R35" s="424" t="s">
        <v>368</v>
      </c>
      <c r="S35" s="424" t="s">
        <v>368</v>
      </c>
      <c r="T35" s="424" t="s">
        <v>368</v>
      </c>
      <c r="U35" s="424" t="s">
        <v>368</v>
      </c>
      <c r="V35" s="424" t="s">
        <v>368</v>
      </c>
      <c r="W35" s="424" t="s">
        <v>368</v>
      </c>
      <c r="X35" s="424" t="s">
        <v>368</v>
      </c>
      <c r="Y35" s="424" t="s">
        <v>368</v>
      </c>
      <c r="Z35" s="424" t="s">
        <v>368</v>
      </c>
      <c r="AA35" s="424" t="s">
        <v>368</v>
      </c>
      <c r="AB35" s="424" t="s">
        <v>368</v>
      </c>
      <c r="AC35" s="434" t="s">
        <v>596</v>
      </c>
      <c r="AD35" s="424"/>
      <c r="AE35" s="427" t="s">
        <v>139</v>
      </c>
    </row>
    <row r="36" spans="1:31" s="329" customFormat="1" ht="78.75">
      <c r="A36" s="188" t="str">
        <f>1!A39</f>
        <v>1.1</v>
      </c>
      <c r="B36" s="423" t="str">
        <f>1!B39</f>
        <v>Реконструкция ВЛ-0,4 кВ ул.Бахановича, г.Железноводск, (и/н 0000285), СИП-2 3х35+1х54,6 - 0,502км и СИП-4 2х16 - 0,784 км</v>
      </c>
      <c r="C36" s="67" t="str">
        <f>1!C39</f>
        <v>G_Gelezno_007</v>
      </c>
      <c r="D36" s="424"/>
      <c r="E36" s="425" t="s">
        <v>368</v>
      </c>
      <c r="F36" s="425" t="s">
        <v>368</v>
      </c>
      <c r="G36" s="425" t="s">
        <v>368</v>
      </c>
      <c r="H36" s="425" t="s">
        <v>368</v>
      </c>
      <c r="I36" s="425" t="s">
        <v>368</v>
      </c>
      <c r="J36" s="425" t="s">
        <v>368</v>
      </c>
      <c r="K36" s="425" t="s">
        <v>368</v>
      </c>
      <c r="L36" s="421" t="s">
        <v>249</v>
      </c>
      <c r="M36" s="421" t="s">
        <v>249</v>
      </c>
      <c r="N36" s="421" t="s">
        <v>249</v>
      </c>
      <c r="O36" s="421" t="s">
        <v>249</v>
      </c>
      <c r="P36" s="424" t="s">
        <v>249</v>
      </c>
      <c r="Q36" s="424" t="s">
        <v>368</v>
      </c>
      <c r="R36" s="424" t="s">
        <v>368</v>
      </c>
      <c r="S36" s="424" t="s">
        <v>368</v>
      </c>
      <c r="T36" s="424" t="s">
        <v>368</v>
      </c>
      <c r="U36" s="424" t="s">
        <v>368</v>
      </c>
      <c r="V36" s="424" t="s">
        <v>368</v>
      </c>
      <c r="W36" s="424" t="s">
        <v>368</v>
      </c>
      <c r="X36" s="424" t="s">
        <v>368</v>
      </c>
      <c r="Y36" s="424" t="s">
        <v>368</v>
      </c>
      <c r="Z36" s="424" t="s">
        <v>368</v>
      </c>
      <c r="AA36" s="424" t="s">
        <v>368</v>
      </c>
      <c r="AB36" s="424" t="s">
        <v>368</v>
      </c>
      <c r="AC36" s="434" t="s">
        <v>596</v>
      </c>
      <c r="AD36" s="424"/>
      <c r="AE36" s="427" t="s">
        <v>139</v>
      </c>
    </row>
    <row r="37" spans="1:31" s="329" customFormat="1" ht="78.75">
      <c r="A37" s="188" t="str">
        <f>1!A40</f>
        <v>1.1</v>
      </c>
      <c r="B37" s="423" t="str">
        <f>1!B40</f>
        <v>Реконструкция ВЛ-0,4 кВ ул.Ивановская, г. Железноводск, (и/н 0000370 и 0000371 ), СИП-2 3х35+1х54,6 - 1,12 км и СИП-4 2х16 - 0,4 км</v>
      </c>
      <c r="C37" s="67" t="str">
        <f>1!C40</f>
        <v>G_Gelezno_008</v>
      </c>
      <c r="D37" s="424"/>
      <c r="E37" s="425" t="s">
        <v>368</v>
      </c>
      <c r="F37" s="425" t="s">
        <v>368</v>
      </c>
      <c r="G37" s="425" t="s">
        <v>368</v>
      </c>
      <c r="H37" s="425" t="s">
        <v>368</v>
      </c>
      <c r="I37" s="425" t="s">
        <v>368</v>
      </c>
      <c r="J37" s="425" t="s">
        <v>368</v>
      </c>
      <c r="K37" s="425" t="s">
        <v>368</v>
      </c>
      <c r="L37" s="421" t="s">
        <v>249</v>
      </c>
      <c r="M37" s="421" t="s">
        <v>249</v>
      </c>
      <c r="N37" s="421" t="s">
        <v>249</v>
      </c>
      <c r="O37" s="421" t="s">
        <v>249</v>
      </c>
      <c r="P37" s="424" t="s">
        <v>249</v>
      </c>
      <c r="Q37" s="424" t="s">
        <v>368</v>
      </c>
      <c r="R37" s="424" t="s">
        <v>368</v>
      </c>
      <c r="S37" s="424" t="s">
        <v>368</v>
      </c>
      <c r="T37" s="424" t="s">
        <v>368</v>
      </c>
      <c r="U37" s="424" t="s">
        <v>368</v>
      </c>
      <c r="V37" s="424" t="s">
        <v>368</v>
      </c>
      <c r="W37" s="424" t="s">
        <v>368</v>
      </c>
      <c r="X37" s="424" t="s">
        <v>368</v>
      </c>
      <c r="Y37" s="424" t="s">
        <v>368</v>
      </c>
      <c r="Z37" s="424" t="s">
        <v>368</v>
      </c>
      <c r="AA37" s="424" t="s">
        <v>368</v>
      </c>
      <c r="AB37" s="424" t="s">
        <v>368</v>
      </c>
      <c r="AC37" s="434" t="s">
        <v>596</v>
      </c>
      <c r="AD37" s="424"/>
      <c r="AE37" s="427" t="s">
        <v>139</v>
      </c>
    </row>
    <row r="38" spans="1:31" s="329" customFormat="1" ht="78.75">
      <c r="A38" s="188" t="str">
        <f>1!A41</f>
        <v>1.1</v>
      </c>
      <c r="B38" s="423" t="str">
        <f>1!B41</f>
        <v>Реконструкция ВЛ-0,4 кВ ул.Бахановича от ул.Чапаева, г.Желез-новодск, (и/н 0000283), СИП-2 3х35+1х54,6 - 0,836 км и СИП-4 2х16 - 1,306 км</v>
      </c>
      <c r="C38" s="67" t="str">
        <f>1!C41</f>
        <v>G_Gelezno_009</v>
      </c>
      <c r="D38" s="424"/>
      <c r="E38" s="425" t="s">
        <v>368</v>
      </c>
      <c r="F38" s="425" t="s">
        <v>368</v>
      </c>
      <c r="G38" s="425" t="s">
        <v>368</v>
      </c>
      <c r="H38" s="425" t="s">
        <v>368</v>
      </c>
      <c r="I38" s="425" t="s">
        <v>368</v>
      </c>
      <c r="J38" s="425" t="s">
        <v>368</v>
      </c>
      <c r="K38" s="425" t="s">
        <v>368</v>
      </c>
      <c r="L38" s="421" t="s">
        <v>249</v>
      </c>
      <c r="M38" s="421" t="s">
        <v>249</v>
      </c>
      <c r="N38" s="421" t="s">
        <v>249</v>
      </c>
      <c r="O38" s="421" t="s">
        <v>249</v>
      </c>
      <c r="P38" s="424" t="s">
        <v>249</v>
      </c>
      <c r="Q38" s="424" t="s">
        <v>368</v>
      </c>
      <c r="R38" s="424" t="s">
        <v>368</v>
      </c>
      <c r="S38" s="424" t="s">
        <v>368</v>
      </c>
      <c r="T38" s="424" t="s">
        <v>368</v>
      </c>
      <c r="U38" s="424" t="s">
        <v>368</v>
      </c>
      <c r="V38" s="424" t="s">
        <v>368</v>
      </c>
      <c r="W38" s="424" t="s">
        <v>368</v>
      </c>
      <c r="X38" s="424" t="s">
        <v>368</v>
      </c>
      <c r="Y38" s="424" t="s">
        <v>368</v>
      </c>
      <c r="Z38" s="424" t="s">
        <v>368</v>
      </c>
      <c r="AA38" s="424" t="s">
        <v>368</v>
      </c>
      <c r="AB38" s="424" t="s">
        <v>368</v>
      </c>
      <c r="AC38" s="434" t="s">
        <v>596</v>
      </c>
      <c r="AD38" s="424"/>
      <c r="AE38" s="427" t="s">
        <v>139</v>
      </c>
    </row>
    <row r="39" spans="1:31" s="329" customFormat="1" ht="10.5" customHeight="1">
      <c r="A39" s="188"/>
      <c r="B39" s="428"/>
      <c r="C39" s="429"/>
      <c r="D39" s="424"/>
      <c r="E39" s="425"/>
      <c r="F39" s="425"/>
      <c r="G39" s="425"/>
      <c r="H39" s="425"/>
      <c r="I39" s="425"/>
      <c r="J39" s="425"/>
      <c r="K39" s="425"/>
      <c r="L39" s="421"/>
      <c r="M39" s="421"/>
      <c r="N39" s="421"/>
      <c r="O39" s="421"/>
      <c r="P39" s="424"/>
      <c r="Q39" s="424"/>
      <c r="R39" s="424"/>
      <c r="S39" s="424"/>
      <c r="T39" s="424"/>
      <c r="U39" s="424"/>
      <c r="V39" s="424"/>
      <c r="W39" s="424"/>
      <c r="X39" s="424"/>
      <c r="Y39" s="424"/>
      <c r="Z39" s="424"/>
      <c r="AA39" s="424"/>
      <c r="AB39" s="424"/>
      <c r="AC39" s="426"/>
      <c r="AD39" s="424"/>
      <c r="AE39" s="427"/>
    </row>
    <row r="40" spans="1:31" s="328" customFormat="1" ht="47.25">
      <c r="A40" s="190" t="str">
        <f>1!A43</f>
        <v>1.2</v>
      </c>
      <c r="B40" s="430" t="str">
        <f>1!B43</f>
        <v>Реконструкция трансформаторных и иных подстанций, всего, в том числе:</v>
      </c>
      <c r="C40" s="431" t="str">
        <f>1!C43</f>
        <v>Г</v>
      </c>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32"/>
      <c r="AD40" s="421"/>
      <c r="AE40" s="422"/>
    </row>
    <row r="41" spans="1:31" s="329" customFormat="1" ht="63">
      <c r="A41" s="188" t="str">
        <f>1!A44</f>
        <v>1.2</v>
      </c>
      <c r="B41" s="423" t="str">
        <f>1!B44</f>
        <v>Реконструкция в ТП-187  (и/н 0001379) (камера сборная серии КСО-393-13-400 - 1 шт. и камера сборная серии КСО-393-01 - 1шт.)</v>
      </c>
      <c r="C41" s="67" t="str">
        <f>1!C44</f>
        <v>G_Gelezno_010</v>
      </c>
      <c r="D41" s="424"/>
      <c r="E41" s="425" t="s">
        <v>368</v>
      </c>
      <c r="F41" s="425" t="s">
        <v>368</v>
      </c>
      <c r="G41" s="425" t="s">
        <v>368</v>
      </c>
      <c r="H41" s="425" t="s">
        <v>368</v>
      </c>
      <c r="I41" s="425" t="s">
        <v>368</v>
      </c>
      <c r="J41" s="425" t="s">
        <v>368</v>
      </c>
      <c r="K41" s="425" t="s">
        <v>368</v>
      </c>
      <c r="L41" s="421" t="s">
        <v>249</v>
      </c>
      <c r="M41" s="421" t="s">
        <v>249</v>
      </c>
      <c r="N41" s="421" t="s">
        <v>249</v>
      </c>
      <c r="O41" s="421" t="s">
        <v>249</v>
      </c>
      <c r="P41" s="424"/>
      <c r="Q41" s="424" t="s">
        <v>368</v>
      </c>
      <c r="R41" s="424" t="s">
        <v>368</v>
      </c>
      <c r="S41" s="424" t="s">
        <v>368</v>
      </c>
      <c r="T41" s="424" t="s">
        <v>368</v>
      </c>
      <c r="U41" s="424" t="s">
        <v>368</v>
      </c>
      <c r="V41" s="424" t="s">
        <v>368</v>
      </c>
      <c r="W41" s="424" t="s">
        <v>368</v>
      </c>
      <c r="X41" s="424" t="s">
        <v>368</v>
      </c>
      <c r="Y41" s="424" t="s">
        <v>368</v>
      </c>
      <c r="Z41" s="424" t="s">
        <v>368</v>
      </c>
      <c r="AA41" s="424" t="s">
        <v>368</v>
      </c>
      <c r="AB41" s="424" t="s">
        <v>368</v>
      </c>
      <c r="AC41" s="426" t="s">
        <v>247</v>
      </c>
      <c r="AD41" s="424"/>
      <c r="AE41" s="427" t="s">
        <v>139</v>
      </c>
    </row>
    <row r="42" spans="1:31" s="329" customFormat="1" ht="9" customHeight="1">
      <c r="A42" s="188"/>
      <c r="B42" s="423"/>
      <c r="C42" s="67"/>
      <c r="D42" s="424"/>
      <c r="E42" s="425"/>
      <c r="F42" s="425"/>
      <c r="G42" s="425"/>
      <c r="H42" s="425"/>
      <c r="I42" s="425"/>
      <c r="J42" s="425"/>
      <c r="K42" s="425"/>
      <c r="L42" s="421"/>
      <c r="M42" s="421"/>
      <c r="N42" s="421"/>
      <c r="O42" s="421"/>
      <c r="P42" s="424"/>
      <c r="Q42" s="424"/>
      <c r="R42" s="424"/>
      <c r="S42" s="424"/>
      <c r="T42" s="424"/>
      <c r="U42" s="424"/>
      <c r="V42" s="424"/>
      <c r="W42" s="424"/>
      <c r="X42" s="424"/>
      <c r="Y42" s="424"/>
      <c r="Z42" s="424"/>
      <c r="AA42" s="424"/>
      <c r="AB42" s="424"/>
      <c r="AC42" s="426"/>
      <c r="AD42" s="424"/>
      <c r="AE42" s="427"/>
    </row>
    <row r="43" spans="1:31" s="328" customFormat="1" ht="31.5">
      <c r="A43" s="190" t="str">
        <f>1!A46</f>
        <v>1.3</v>
      </c>
      <c r="B43" s="430" t="str">
        <f>1!B46</f>
        <v>Прочие инвестиционные проекты, всего, в том числе:</v>
      </c>
      <c r="C43" s="431" t="str">
        <f>1!C46</f>
        <v>Г</v>
      </c>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32"/>
      <c r="AD43" s="421"/>
      <c r="AE43" s="422"/>
    </row>
    <row r="44" spans="1:31" s="329" customFormat="1" ht="47.25">
      <c r="A44" s="188" t="str">
        <f>1!A47</f>
        <v>1.3</v>
      </c>
      <c r="B44" s="423" t="str">
        <f>1!B47</f>
        <v>Внутренний контур системы коммерческого учёта АСКУЭ   в   ТП-40; 15; 185; 28; 9  и  РП-3; 4; 5; 6.</v>
      </c>
      <c r="C44" s="67" t="str">
        <f>1!C47</f>
        <v>G_Gelezno_011</v>
      </c>
      <c r="D44" s="424"/>
      <c r="E44" s="425" t="s">
        <v>368</v>
      </c>
      <c r="F44" s="425" t="s">
        <v>368</v>
      </c>
      <c r="G44" s="425" t="s">
        <v>368</v>
      </c>
      <c r="H44" s="425" t="s">
        <v>368</v>
      </c>
      <c r="I44" s="425" t="s">
        <v>368</v>
      </c>
      <c r="J44" s="425" t="s">
        <v>368</v>
      </c>
      <c r="K44" s="425" t="s">
        <v>368</v>
      </c>
      <c r="L44" s="421" t="s">
        <v>249</v>
      </c>
      <c r="M44" s="421" t="s">
        <v>249</v>
      </c>
      <c r="N44" s="421" t="s">
        <v>249</v>
      </c>
      <c r="O44" s="421" t="s">
        <v>249</v>
      </c>
      <c r="P44" s="424"/>
      <c r="Q44" s="424" t="s">
        <v>368</v>
      </c>
      <c r="R44" s="424" t="s">
        <v>368</v>
      </c>
      <c r="S44" s="424" t="s">
        <v>368</v>
      </c>
      <c r="T44" s="424" t="s">
        <v>368</v>
      </c>
      <c r="U44" s="424" t="s">
        <v>368</v>
      </c>
      <c r="V44" s="424" t="s">
        <v>368</v>
      </c>
      <c r="W44" s="424" t="s">
        <v>368</v>
      </c>
      <c r="X44" s="424" t="s">
        <v>368</v>
      </c>
      <c r="Y44" s="424" t="s">
        <v>368</v>
      </c>
      <c r="Z44" s="424" t="s">
        <v>368</v>
      </c>
      <c r="AA44" s="424" t="s">
        <v>368</v>
      </c>
      <c r="AB44" s="424" t="s">
        <v>368</v>
      </c>
      <c r="AC44" s="426"/>
      <c r="AD44" s="424"/>
      <c r="AE44" s="427" t="s">
        <v>139</v>
      </c>
    </row>
    <row r="45" spans="1:31" s="329" customFormat="1" ht="15.75">
      <c r="A45" s="188" t="str">
        <f>1!A48</f>
        <v>1.3</v>
      </c>
      <c r="B45" s="423" t="str">
        <f>1!B48</f>
        <v>Оборудование, не требующее монтажа</v>
      </c>
      <c r="C45" s="67" t="str">
        <f>1!C48</f>
        <v>G_Gelezno_012</v>
      </c>
      <c r="D45" s="424"/>
      <c r="E45" s="425" t="s">
        <v>368</v>
      </c>
      <c r="F45" s="425" t="s">
        <v>368</v>
      </c>
      <c r="G45" s="425" t="s">
        <v>368</v>
      </c>
      <c r="H45" s="425" t="s">
        <v>368</v>
      </c>
      <c r="I45" s="425" t="s">
        <v>368</v>
      </c>
      <c r="J45" s="425" t="s">
        <v>368</v>
      </c>
      <c r="K45" s="425" t="s">
        <v>368</v>
      </c>
      <c r="L45" s="421" t="s">
        <v>249</v>
      </c>
      <c r="M45" s="421" t="s">
        <v>249</v>
      </c>
      <c r="N45" s="421" t="s">
        <v>249</v>
      </c>
      <c r="O45" s="421" t="s">
        <v>249</v>
      </c>
      <c r="P45" s="424"/>
      <c r="Q45" s="424" t="s">
        <v>368</v>
      </c>
      <c r="R45" s="424" t="s">
        <v>368</v>
      </c>
      <c r="S45" s="424" t="s">
        <v>368</v>
      </c>
      <c r="T45" s="424" t="s">
        <v>368</v>
      </c>
      <c r="U45" s="424" t="s">
        <v>368</v>
      </c>
      <c r="V45" s="424" t="s">
        <v>368</v>
      </c>
      <c r="W45" s="424" t="s">
        <v>368</v>
      </c>
      <c r="X45" s="424" t="s">
        <v>368</v>
      </c>
      <c r="Y45" s="424" t="s">
        <v>368</v>
      </c>
      <c r="Z45" s="424" t="s">
        <v>368</v>
      </c>
      <c r="AA45" s="424" t="s">
        <v>368</v>
      </c>
      <c r="AB45" s="424" t="s">
        <v>368</v>
      </c>
      <c r="AC45" s="426"/>
      <c r="AD45" s="424"/>
      <c r="AE45" s="427" t="s">
        <v>139</v>
      </c>
    </row>
    <row r="46" spans="1:31" s="329" customFormat="1" ht="9" customHeight="1">
      <c r="A46" s="188"/>
      <c r="B46" s="423"/>
      <c r="C46" s="67"/>
      <c r="D46" s="424"/>
      <c r="E46" s="425"/>
      <c r="F46" s="425"/>
      <c r="G46" s="425"/>
      <c r="H46" s="425"/>
      <c r="I46" s="425"/>
      <c r="J46" s="425"/>
      <c r="K46" s="425"/>
      <c r="L46" s="421"/>
      <c r="M46" s="421"/>
      <c r="N46" s="421"/>
      <c r="O46" s="421"/>
      <c r="P46" s="424"/>
      <c r="Q46" s="424"/>
      <c r="R46" s="424"/>
      <c r="S46" s="424"/>
      <c r="T46" s="424"/>
      <c r="U46" s="424"/>
      <c r="V46" s="424"/>
      <c r="W46" s="424"/>
      <c r="X46" s="424"/>
      <c r="Y46" s="424"/>
      <c r="Z46" s="424"/>
      <c r="AA46" s="424"/>
      <c r="AB46" s="424"/>
      <c r="AC46" s="426"/>
      <c r="AD46" s="424"/>
      <c r="AE46" s="427"/>
    </row>
    <row r="47" spans="1:31" s="328" customFormat="1" ht="31.5">
      <c r="A47" s="190" t="str">
        <f>1!A50</f>
        <v>1.4</v>
      </c>
      <c r="B47" s="430" t="str">
        <f>1!B50</f>
        <v>Новое строительство, всего, в том числе:</v>
      </c>
      <c r="C47" s="431" t="str">
        <f>1!C50</f>
        <v>Г</v>
      </c>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32"/>
      <c r="AD47" s="421"/>
      <c r="AE47" s="422"/>
    </row>
    <row r="48" spans="1:31" s="328" customFormat="1" ht="31.5">
      <c r="A48" s="190" t="str">
        <f>1!A51</f>
        <v>1.4.1</v>
      </c>
      <c r="B48" s="430" t="str">
        <f>1!B51</f>
        <v>Прочее новое строительство объектов электросетевого хозяйства</v>
      </c>
      <c r="C48" s="67"/>
      <c r="D48" s="424"/>
      <c r="E48" s="425"/>
      <c r="F48" s="425"/>
      <c r="G48" s="425"/>
      <c r="H48" s="425"/>
      <c r="I48" s="425"/>
      <c r="J48" s="425"/>
      <c r="K48" s="425"/>
      <c r="L48" s="421"/>
      <c r="M48" s="421"/>
      <c r="N48" s="421"/>
      <c r="O48" s="421"/>
      <c r="P48" s="424"/>
      <c r="Q48" s="424"/>
      <c r="R48" s="424"/>
      <c r="S48" s="424"/>
      <c r="T48" s="424"/>
      <c r="U48" s="424"/>
      <c r="V48" s="424"/>
      <c r="W48" s="424"/>
      <c r="X48" s="424"/>
      <c r="Y48" s="424"/>
      <c r="Z48" s="424"/>
      <c r="AA48" s="424"/>
      <c r="AB48" s="424"/>
      <c r="AC48" s="426"/>
      <c r="AD48" s="424"/>
      <c r="AE48" s="427"/>
    </row>
    <row r="49" spans="1:31" s="328" customFormat="1" ht="110.25">
      <c r="A49" s="321" t="str">
        <f>1!A52</f>
        <v>1.4.1.1</v>
      </c>
      <c r="B49" s="433" t="str">
        <f>1!B52</f>
        <v>Строительство КЛ-10 кВ, Ф-187(С-2) от ПС"Машук" до ТП-187, п.Иноземцево , L=2,244 км (ААБлУ 3х240)</v>
      </c>
      <c r="C49" s="67" t="str">
        <f>1!C52</f>
        <v>G_Gelezno_013</v>
      </c>
      <c r="D49" s="424"/>
      <c r="E49" s="425" t="s">
        <v>368</v>
      </c>
      <c r="F49" s="425" t="s">
        <v>368</v>
      </c>
      <c r="G49" s="425" t="s">
        <v>368</v>
      </c>
      <c r="H49" s="425" t="s">
        <v>368</v>
      </c>
      <c r="I49" s="425" t="s">
        <v>368</v>
      </c>
      <c r="J49" s="425" t="s">
        <v>368</v>
      </c>
      <c r="K49" s="425" t="s">
        <v>368</v>
      </c>
      <c r="L49" s="421" t="s">
        <v>249</v>
      </c>
      <c r="M49" s="421" t="s">
        <v>249</v>
      </c>
      <c r="N49" s="421" t="s">
        <v>249</v>
      </c>
      <c r="O49" s="421" t="s">
        <v>249</v>
      </c>
      <c r="P49" s="424"/>
      <c r="Q49" s="424" t="s">
        <v>368</v>
      </c>
      <c r="R49" s="424" t="s">
        <v>368</v>
      </c>
      <c r="S49" s="424" t="s">
        <v>368</v>
      </c>
      <c r="T49" s="424" t="s">
        <v>368</v>
      </c>
      <c r="U49" s="424" t="s">
        <v>368</v>
      </c>
      <c r="V49" s="424" t="s">
        <v>368</v>
      </c>
      <c r="W49" s="424" t="s">
        <v>368</v>
      </c>
      <c r="X49" s="424" t="s">
        <v>368</v>
      </c>
      <c r="Y49" s="424" t="s">
        <v>368</v>
      </c>
      <c r="Z49" s="424" t="s">
        <v>368</v>
      </c>
      <c r="AA49" s="424" t="s">
        <v>368</v>
      </c>
      <c r="AB49" s="424" t="s">
        <v>368</v>
      </c>
      <c r="AC49" s="426" t="s">
        <v>248</v>
      </c>
      <c r="AD49" s="424"/>
      <c r="AE49" s="427" t="s">
        <v>139</v>
      </c>
    </row>
    <row r="50" spans="1:31" s="328" customFormat="1" ht="31.5">
      <c r="A50" s="190" t="str">
        <f>1!A53</f>
        <v>1.4.2</v>
      </c>
      <c r="B50" s="430" t="str">
        <f>1!B53</f>
        <v>Прочее новое строительство, в счёт тех.присоединений</v>
      </c>
      <c r="C50" s="67"/>
      <c r="D50" s="424"/>
      <c r="E50" s="425"/>
      <c r="F50" s="425"/>
      <c r="G50" s="425"/>
      <c r="H50" s="425"/>
      <c r="I50" s="425"/>
      <c r="J50" s="425"/>
      <c r="K50" s="425"/>
      <c r="L50" s="421"/>
      <c r="M50" s="421"/>
      <c r="N50" s="421"/>
      <c r="O50" s="421"/>
      <c r="P50" s="424"/>
      <c r="Q50" s="424"/>
      <c r="R50" s="424"/>
      <c r="S50" s="424"/>
      <c r="T50" s="424"/>
      <c r="U50" s="424"/>
      <c r="V50" s="424"/>
      <c r="W50" s="424"/>
      <c r="X50" s="424"/>
      <c r="Y50" s="424"/>
      <c r="Z50" s="424"/>
      <c r="AA50" s="424"/>
      <c r="AB50" s="424"/>
      <c r="AC50" s="426"/>
      <c r="AD50" s="424"/>
      <c r="AE50" s="427"/>
    </row>
    <row r="51" spans="1:31" s="328" customFormat="1" ht="110.25">
      <c r="A51" s="321" t="str">
        <f>1!A54</f>
        <v>1.4.2.1</v>
      </c>
      <c r="B51" s="433" t="str">
        <f>1!B54</f>
        <v>Строительство ВЛ-0,4 кВ от РУ-0,4 кВ ТП-185 до ВРУ офисного здания ул.Пушкина,2А, п.Иноземцево, L=0,235 км (СИП-2 3х50+1х54)</v>
      </c>
      <c r="C51" s="516" t="str">
        <f>1!C54</f>
        <v>G_Gelezno_ТР1</v>
      </c>
      <c r="D51" s="424"/>
      <c r="E51" s="425" t="s">
        <v>368</v>
      </c>
      <c r="F51" s="425" t="s">
        <v>368</v>
      </c>
      <c r="G51" s="425" t="s">
        <v>368</v>
      </c>
      <c r="H51" s="425" t="s">
        <v>368</v>
      </c>
      <c r="I51" s="425" t="s">
        <v>368</v>
      </c>
      <c r="J51" s="425" t="s">
        <v>368</v>
      </c>
      <c r="K51" s="425" t="s">
        <v>368</v>
      </c>
      <c r="L51" s="421" t="s">
        <v>249</v>
      </c>
      <c r="M51" s="421" t="s">
        <v>249</v>
      </c>
      <c r="N51" s="421" t="s">
        <v>249</v>
      </c>
      <c r="O51" s="421" t="s">
        <v>249</v>
      </c>
      <c r="P51" s="424"/>
      <c r="Q51" s="424" t="s">
        <v>368</v>
      </c>
      <c r="R51" s="424" t="s">
        <v>368</v>
      </c>
      <c r="S51" s="424" t="s">
        <v>368</v>
      </c>
      <c r="T51" s="424" t="s">
        <v>368</v>
      </c>
      <c r="U51" s="424" t="s">
        <v>368</v>
      </c>
      <c r="V51" s="424" t="s">
        <v>368</v>
      </c>
      <c r="W51" s="424" t="s">
        <v>368</v>
      </c>
      <c r="X51" s="424" t="s">
        <v>368</v>
      </c>
      <c r="Y51" s="424" t="s">
        <v>368</v>
      </c>
      <c r="Z51" s="424" t="s">
        <v>368</v>
      </c>
      <c r="AA51" s="424" t="s">
        <v>368</v>
      </c>
      <c r="AB51" s="424" t="s">
        <v>368</v>
      </c>
      <c r="AC51" s="426" t="s">
        <v>248</v>
      </c>
      <c r="AD51" s="424"/>
      <c r="AE51" s="427" t="s">
        <v>139</v>
      </c>
    </row>
    <row r="52" spans="1:31" s="328" customFormat="1" ht="110.25">
      <c r="A52" s="321" t="str">
        <f>1!A55</f>
        <v>1.4.2.2</v>
      </c>
      <c r="B52" s="433" t="str">
        <f>1!B55</f>
        <v>Строительство КЛ-0,4 кВ от РУ-0,4 кВ ТП-18 (С1) до ВРУ МКЖД ул.Косякина (район дома № 49), г.Железноводск, (Линия 1), L=0,143 км (ААБл 4х120)</v>
      </c>
      <c r="C52" s="516" t="str">
        <f>1!C55</f>
        <v>G_Gelezno_ТР2</v>
      </c>
      <c r="D52" s="424"/>
      <c r="E52" s="425" t="s">
        <v>368</v>
      </c>
      <c r="F52" s="425" t="s">
        <v>368</v>
      </c>
      <c r="G52" s="425" t="s">
        <v>368</v>
      </c>
      <c r="H52" s="425" t="s">
        <v>368</v>
      </c>
      <c r="I52" s="425" t="s">
        <v>368</v>
      </c>
      <c r="J52" s="425" t="s">
        <v>368</v>
      </c>
      <c r="K52" s="425" t="s">
        <v>368</v>
      </c>
      <c r="L52" s="421" t="s">
        <v>249</v>
      </c>
      <c r="M52" s="421" t="s">
        <v>249</v>
      </c>
      <c r="N52" s="421" t="s">
        <v>249</v>
      </c>
      <c r="O52" s="421" t="s">
        <v>249</v>
      </c>
      <c r="P52" s="424"/>
      <c r="Q52" s="424" t="s">
        <v>368</v>
      </c>
      <c r="R52" s="424" t="s">
        <v>368</v>
      </c>
      <c r="S52" s="424" t="s">
        <v>368</v>
      </c>
      <c r="T52" s="424" t="s">
        <v>368</v>
      </c>
      <c r="U52" s="424" t="s">
        <v>368</v>
      </c>
      <c r="V52" s="424" t="s">
        <v>368</v>
      </c>
      <c r="W52" s="424" t="s">
        <v>368</v>
      </c>
      <c r="X52" s="424" t="s">
        <v>368</v>
      </c>
      <c r="Y52" s="424" t="s">
        <v>368</v>
      </c>
      <c r="Z52" s="424" t="s">
        <v>368</v>
      </c>
      <c r="AA52" s="424" t="s">
        <v>368</v>
      </c>
      <c r="AB52" s="424" t="s">
        <v>368</v>
      </c>
      <c r="AC52" s="426" t="s">
        <v>248</v>
      </c>
      <c r="AD52" s="424"/>
      <c r="AE52" s="427" t="s">
        <v>139</v>
      </c>
    </row>
    <row r="53" spans="1:31" s="328" customFormat="1" ht="110.25">
      <c r="A53" s="321" t="str">
        <f>1!A56</f>
        <v>1.4.2.3</v>
      </c>
      <c r="B53" s="433" t="str">
        <f>1!B56</f>
        <v>Строительство КЛ-0,4 кВ от РУ-0,4 кВ ТП-18 (С2) до ВРУ МКЖД ул.Косякина (район дома № 49), г.Железноводск, (Линия 2), L=0,143 км (ААБл 4х120)</v>
      </c>
      <c r="C53" s="516" t="str">
        <f>1!C56</f>
        <v>G_Gelezno_ТР3</v>
      </c>
      <c r="D53" s="424"/>
      <c r="E53" s="425" t="s">
        <v>368</v>
      </c>
      <c r="F53" s="425" t="s">
        <v>368</v>
      </c>
      <c r="G53" s="425" t="s">
        <v>368</v>
      </c>
      <c r="H53" s="425" t="s">
        <v>368</v>
      </c>
      <c r="I53" s="425" t="s">
        <v>368</v>
      </c>
      <c r="J53" s="425" t="s">
        <v>368</v>
      </c>
      <c r="K53" s="425" t="s">
        <v>368</v>
      </c>
      <c r="L53" s="421" t="s">
        <v>249</v>
      </c>
      <c r="M53" s="421" t="s">
        <v>249</v>
      </c>
      <c r="N53" s="421" t="s">
        <v>249</v>
      </c>
      <c r="O53" s="421" t="s">
        <v>249</v>
      </c>
      <c r="P53" s="424"/>
      <c r="Q53" s="424" t="s">
        <v>368</v>
      </c>
      <c r="R53" s="424" t="s">
        <v>368</v>
      </c>
      <c r="S53" s="424" t="s">
        <v>368</v>
      </c>
      <c r="T53" s="424" t="s">
        <v>368</v>
      </c>
      <c r="U53" s="424" t="s">
        <v>368</v>
      </c>
      <c r="V53" s="424" t="s">
        <v>368</v>
      </c>
      <c r="W53" s="424" t="s">
        <v>368</v>
      </c>
      <c r="X53" s="424" t="s">
        <v>368</v>
      </c>
      <c r="Y53" s="424" t="s">
        <v>368</v>
      </c>
      <c r="Z53" s="424" t="s">
        <v>368</v>
      </c>
      <c r="AA53" s="424" t="s">
        <v>368</v>
      </c>
      <c r="AB53" s="424" t="s">
        <v>368</v>
      </c>
      <c r="AC53" s="426" t="s">
        <v>248</v>
      </c>
      <c r="AD53" s="424"/>
      <c r="AE53" s="427" t="s">
        <v>139</v>
      </c>
    </row>
    <row r="54" spans="1:31" s="328" customFormat="1" ht="110.25">
      <c r="A54" s="321" t="str">
        <f>1!A57</f>
        <v>1.4.2.4</v>
      </c>
      <c r="B54" s="433" t="str">
        <f>1!B57</f>
        <v>Строительство КТП-247 в районе озера "Карас", п.Иноземцево (250 кВА)</v>
      </c>
      <c r="C54" s="516" t="str">
        <f>1!C57</f>
        <v>G_Gelezno_ТР4</v>
      </c>
      <c r="D54" s="424"/>
      <c r="E54" s="425" t="s">
        <v>368</v>
      </c>
      <c r="F54" s="425" t="s">
        <v>368</v>
      </c>
      <c r="G54" s="425" t="s">
        <v>368</v>
      </c>
      <c r="H54" s="425" t="s">
        <v>368</v>
      </c>
      <c r="I54" s="425" t="s">
        <v>368</v>
      </c>
      <c r="J54" s="425" t="s">
        <v>368</v>
      </c>
      <c r="K54" s="425" t="s">
        <v>368</v>
      </c>
      <c r="L54" s="421" t="s">
        <v>249</v>
      </c>
      <c r="M54" s="421" t="s">
        <v>249</v>
      </c>
      <c r="N54" s="421" t="s">
        <v>249</v>
      </c>
      <c r="O54" s="421" t="s">
        <v>249</v>
      </c>
      <c r="P54" s="424"/>
      <c r="Q54" s="424" t="s">
        <v>368</v>
      </c>
      <c r="R54" s="424" t="s">
        <v>368</v>
      </c>
      <c r="S54" s="424" t="s">
        <v>368</v>
      </c>
      <c r="T54" s="424" t="s">
        <v>368</v>
      </c>
      <c r="U54" s="424" t="s">
        <v>368</v>
      </c>
      <c r="V54" s="424" t="s">
        <v>368</v>
      </c>
      <c r="W54" s="424" t="s">
        <v>368</v>
      </c>
      <c r="X54" s="424" t="s">
        <v>368</v>
      </c>
      <c r="Y54" s="424" t="s">
        <v>368</v>
      </c>
      <c r="Z54" s="424" t="s">
        <v>368</v>
      </c>
      <c r="AA54" s="424" t="s">
        <v>368</v>
      </c>
      <c r="AB54" s="424" t="s">
        <v>368</v>
      </c>
      <c r="AC54" s="426" t="s">
        <v>248</v>
      </c>
      <c r="AD54" s="424"/>
      <c r="AE54" s="427" t="s">
        <v>139</v>
      </c>
    </row>
    <row r="55" spans="1:31" s="328" customFormat="1" ht="110.25">
      <c r="A55" s="321" t="str">
        <f>1!A58</f>
        <v>1.4.2.5</v>
      </c>
      <c r="B55" s="433"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55" s="516" t="str">
        <f>1!C58</f>
        <v>G_Gelezno_ТР5</v>
      </c>
      <c r="D55" s="424"/>
      <c r="E55" s="425" t="s">
        <v>368</v>
      </c>
      <c r="F55" s="425" t="s">
        <v>368</v>
      </c>
      <c r="G55" s="425" t="s">
        <v>368</v>
      </c>
      <c r="H55" s="425" t="s">
        <v>368</v>
      </c>
      <c r="I55" s="425" t="s">
        <v>368</v>
      </c>
      <c r="J55" s="425" t="s">
        <v>368</v>
      </c>
      <c r="K55" s="425" t="s">
        <v>368</v>
      </c>
      <c r="L55" s="421" t="s">
        <v>249</v>
      </c>
      <c r="M55" s="421" t="s">
        <v>249</v>
      </c>
      <c r="N55" s="421" t="s">
        <v>249</v>
      </c>
      <c r="O55" s="421" t="s">
        <v>249</v>
      </c>
      <c r="P55" s="424"/>
      <c r="Q55" s="424" t="s">
        <v>368</v>
      </c>
      <c r="R55" s="424" t="s">
        <v>368</v>
      </c>
      <c r="S55" s="424" t="s">
        <v>368</v>
      </c>
      <c r="T55" s="424" t="s">
        <v>368</v>
      </c>
      <c r="U55" s="424" t="s">
        <v>368</v>
      </c>
      <c r="V55" s="424" t="s">
        <v>368</v>
      </c>
      <c r="W55" s="424" t="s">
        <v>368</v>
      </c>
      <c r="X55" s="424" t="s">
        <v>368</v>
      </c>
      <c r="Y55" s="424" t="s">
        <v>368</v>
      </c>
      <c r="Z55" s="424" t="s">
        <v>368</v>
      </c>
      <c r="AA55" s="424" t="s">
        <v>368</v>
      </c>
      <c r="AB55" s="424" t="s">
        <v>368</v>
      </c>
      <c r="AC55" s="426" t="s">
        <v>248</v>
      </c>
      <c r="AD55" s="424"/>
      <c r="AE55" s="427" t="s">
        <v>139</v>
      </c>
    </row>
    <row r="56" spans="1:31" s="328" customFormat="1" ht="110.25">
      <c r="A56" s="321" t="str">
        <f>1!A59</f>
        <v>1.4.2.6</v>
      </c>
      <c r="B56" s="433" t="str">
        <f>1!B59</f>
        <v>Строительство КЛ-10 кВ от РУ-10 кВ КТП-224 до КТП-247, п.Иноземцево, L=0,918 км (АСБ 3х120)</v>
      </c>
      <c r="C56" s="516" t="str">
        <f>1!C59</f>
        <v>G_Gelezno_ТР6</v>
      </c>
      <c r="D56" s="424"/>
      <c r="E56" s="425" t="s">
        <v>368</v>
      </c>
      <c r="F56" s="425" t="s">
        <v>368</v>
      </c>
      <c r="G56" s="425" t="s">
        <v>368</v>
      </c>
      <c r="H56" s="425" t="s">
        <v>368</v>
      </c>
      <c r="I56" s="425" t="s">
        <v>368</v>
      </c>
      <c r="J56" s="425" t="s">
        <v>368</v>
      </c>
      <c r="K56" s="425" t="s">
        <v>368</v>
      </c>
      <c r="L56" s="421" t="s">
        <v>249</v>
      </c>
      <c r="M56" s="421" t="s">
        <v>249</v>
      </c>
      <c r="N56" s="421" t="s">
        <v>249</v>
      </c>
      <c r="O56" s="421" t="s">
        <v>249</v>
      </c>
      <c r="P56" s="424"/>
      <c r="Q56" s="424" t="s">
        <v>368</v>
      </c>
      <c r="R56" s="424" t="s">
        <v>368</v>
      </c>
      <c r="S56" s="424" t="s">
        <v>368</v>
      </c>
      <c r="T56" s="424" t="s">
        <v>368</v>
      </c>
      <c r="U56" s="424" t="s">
        <v>368</v>
      </c>
      <c r="V56" s="424" t="s">
        <v>368</v>
      </c>
      <c r="W56" s="424" t="s">
        <v>368</v>
      </c>
      <c r="X56" s="424" t="s">
        <v>368</v>
      </c>
      <c r="Y56" s="424" t="s">
        <v>368</v>
      </c>
      <c r="Z56" s="424" t="s">
        <v>368</v>
      </c>
      <c r="AA56" s="424" t="s">
        <v>368</v>
      </c>
      <c r="AB56" s="424" t="s">
        <v>368</v>
      </c>
      <c r="AC56" s="426" t="s">
        <v>248</v>
      </c>
      <c r="AD56" s="424"/>
      <c r="AE56" s="427" t="s">
        <v>139</v>
      </c>
    </row>
    <row r="57" spans="1:31" s="328" customFormat="1" ht="110.25">
      <c r="A57" s="321" t="str">
        <f>1!A60</f>
        <v>1.4.2.7</v>
      </c>
      <c r="B57" s="433" t="str">
        <f>1!B60</f>
        <v>Строительство КЛ-0,4 кВ от РУ-0,4 кВ ТП-50 (С-1) до ВРУ МКЖД по ул.Ленина,49(линия 1), г.Железноводск, L=0,061 км (АВБбШв 4х240)</v>
      </c>
      <c r="C57" s="516" t="str">
        <f>1!C60</f>
        <v>G_Gelezno_ТР7</v>
      </c>
      <c r="D57" s="424"/>
      <c r="E57" s="425" t="s">
        <v>368</v>
      </c>
      <c r="F57" s="425" t="s">
        <v>368</v>
      </c>
      <c r="G57" s="425" t="s">
        <v>368</v>
      </c>
      <c r="H57" s="425" t="s">
        <v>368</v>
      </c>
      <c r="I57" s="425" t="s">
        <v>368</v>
      </c>
      <c r="J57" s="425" t="s">
        <v>368</v>
      </c>
      <c r="K57" s="425" t="s">
        <v>368</v>
      </c>
      <c r="L57" s="421" t="s">
        <v>249</v>
      </c>
      <c r="M57" s="421" t="s">
        <v>249</v>
      </c>
      <c r="N57" s="421" t="s">
        <v>249</v>
      </c>
      <c r="O57" s="421" t="s">
        <v>249</v>
      </c>
      <c r="P57" s="424"/>
      <c r="Q57" s="424" t="s">
        <v>368</v>
      </c>
      <c r="R57" s="424" t="s">
        <v>368</v>
      </c>
      <c r="S57" s="424" t="s">
        <v>368</v>
      </c>
      <c r="T57" s="424" t="s">
        <v>368</v>
      </c>
      <c r="U57" s="424" t="s">
        <v>368</v>
      </c>
      <c r="V57" s="424" t="s">
        <v>368</v>
      </c>
      <c r="W57" s="424" t="s">
        <v>368</v>
      </c>
      <c r="X57" s="424" t="s">
        <v>368</v>
      </c>
      <c r="Y57" s="424" t="s">
        <v>368</v>
      </c>
      <c r="Z57" s="424" t="s">
        <v>368</v>
      </c>
      <c r="AA57" s="424" t="s">
        <v>368</v>
      </c>
      <c r="AB57" s="424" t="s">
        <v>368</v>
      </c>
      <c r="AC57" s="426" t="s">
        <v>248</v>
      </c>
      <c r="AD57" s="424"/>
      <c r="AE57" s="427" t="s">
        <v>139</v>
      </c>
    </row>
    <row r="58" spans="1:31" s="328" customFormat="1" ht="110.25">
      <c r="A58" s="321" t="str">
        <f>1!A61</f>
        <v>1.4.2.8</v>
      </c>
      <c r="B58" s="433" t="str">
        <f>1!B61</f>
        <v>Строительство КЛ-0,4 кВ от РУ-0,4 кВ ТП-50(С-2) до ВРУ МКЖД по ул.Ленина,49(линия 2), г.Железноводск, L=0,061 км (АВБбШв 4х240)</v>
      </c>
      <c r="C58" s="516" t="str">
        <f>1!C61</f>
        <v>G_Gelezno_ТР8</v>
      </c>
      <c r="D58" s="424"/>
      <c r="E58" s="425" t="s">
        <v>368</v>
      </c>
      <c r="F58" s="425" t="s">
        <v>368</v>
      </c>
      <c r="G58" s="425" t="s">
        <v>368</v>
      </c>
      <c r="H58" s="425" t="s">
        <v>368</v>
      </c>
      <c r="I58" s="425" t="s">
        <v>368</v>
      </c>
      <c r="J58" s="425" t="s">
        <v>368</v>
      </c>
      <c r="K58" s="425" t="s">
        <v>368</v>
      </c>
      <c r="L58" s="421" t="s">
        <v>249</v>
      </c>
      <c r="M58" s="421" t="s">
        <v>249</v>
      </c>
      <c r="N58" s="421" t="s">
        <v>249</v>
      </c>
      <c r="O58" s="421" t="s">
        <v>249</v>
      </c>
      <c r="P58" s="424"/>
      <c r="Q58" s="424" t="s">
        <v>368</v>
      </c>
      <c r="R58" s="424" t="s">
        <v>368</v>
      </c>
      <c r="S58" s="424" t="s">
        <v>368</v>
      </c>
      <c r="T58" s="424" t="s">
        <v>368</v>
      </c>
      <c r="U58" s="424" t="s">
        <v>368</v>
      </c>
      <c r="V58" s="424" t="s">
        <v>368</v>
      </c>
      <c r="W58" s="424" t="s">
        <v>368</v>
      </c>
      <c r="X58" s="424" t="s">
        <v>368</v>
      </c>
      <c r="Y58" s="424" t="s">
        <v>368</v>
      </c>
      <c r="Z58" s="424" t="s">
        <v>368</v>
      </c>
      <c r="AA58" s="424" t="s">
        <v>368</v>
      </c>
      <c r="AB58" s="424" t="s">
        <v>368</v>
      </c>
      <c r="AC58" s="426" t="s">
        <v>248</v>
      </c>
      <c r="AD58" s="424"/>
      <c r="AE58" s="427" t="s">
        <v>139</v>
      </c>
    </row>
    <row r="59" spans="1:31" s="328" customFormat="1" ht="110.25">
      <c r="A59" s="321" t="str">
        <f>1!A62</f>
        <v>1.4.2.9</v>
      </c>
      <c r="B59" s="433" t="str">
        <f>1!B62</f>
        <v>Строительство КТП-105 ул.Октябрьская, 96 Б, п.Иноземцево (250 кВА)</v>
      </c>
      <c r="C59" s="516" t="str">
        <f>1!C62</f>
        <v>G_Gelezno_ТР9</v>
      </c>
      <c r="D59" s="424"/>
      <c r="E59" s="425" t="s">
        <v>368</v>
      </c>
      <c r="F59" s="425" t="s">
        <v>368</v>
      </c>
      <c r="G59" s="425" t="s">
        <v>368</v>
      </c>
      <c r="H59" s="425" t="s">
        <v>368</v>
      </c>
      <c r="I59" s="425" t="s">
        <v>368</v>
      </c>
      <c r="J59" s="425" t="s">
        <v>368</v>
      </c>
      <c r="K59" s="425" t="s">
        <v>368</v>
      </c>
      <c r="L59" s="421" t="s">
        <v>249</v>
      </c>
      <c r="M59" s="421" t="s">
        <v>249</v>
      </c>
      <c r="N59" s="421" t="s">
        <v>249</v>
      </c>
      <c r="O59" s="421" t="s">
        <v>249</v>
      </c>
      <c r="P59" s="424"/>
      <c r="Q59" s="424" t="s">
        <v>368</v>
      </c>
      <c r="R59" s="424" t="s">
        <v>368</v>
      </c>
      <c r="S59" s="424" t="s">
        <v>368</v>
      </c>
      <c r="T59" s="424" t="s">
        <v>368</v>
      </c>
      <c r="U59" s="424" t="s">
        <v>368</v>
      </c>
      <c r="V59" s="424" t="s">
        <v>368</v>
      </c>
      <c r="W59" s="424" t="s">
        <v>368</v>
      </c>
      <c r="X59" s="424" t="s">
        <v>368</v>
      </c>
      <c r="Y59" s="424" t="s">
        <v>368</v>
      </c>
      <c r="Z59" s="424" t="s">
        <v>368</v>
      </c>
      <c r="AA59" s="424" t="s">
        <v>368</v>
      </c>
      <c r="AB59" s="424" t="s">
        <v>368</v>
      </c>
      <c r="AC59" s="426" t="s">
        <v>248</v>
      </c>
      <c r="AD59" s="424"/>
      <c r="AE59" s="427" t="s">
        <v>139</v>
      </c>
    </row>
    <row r="60" spans="1:31" s="328" customFormat="1" ht="110.25">
      <c r="A60" s="321" t="str">
        <f>1!A63</f>
        <v>1.4.2.10</v>
      </c>
      <c r="B60" s="433" t="str">
        <f>1!B63</f>
        <v>Строительство КЛ-0,4 кВ от РП-2 (С-1) до ВРУ тренировочной площадки стадииона "Спартак" ул.Калинина,3 (линия 1), г.Железноводск, L= 0,245 км (АВБбШв 4х240)</v>
      </c>
      <c r="C60" s="516" t="str">
        <f>1!C63</f>
        <v>G_Gelezno_ТР10</v>
      </c>
      <c r="D60" s="424"/>
      <c r="E60" s="425" t="s">
        <v>368</v>
      </c>
      <c r="F60" s="425" t="s">
        <v>368</v>
      </c>
      <c r="G60" s="425" t="s">
        <v>368</v>
      </c>
      <c r="H60" s="425" t="s">
        <v>368</v>
      </c>
      <c r="I60" s="425" t="s">
        <v>368</v>
      </c>
      <c r="J60" s="425" t="s">
        <v>368</v>
      </c>
      <c r="K60" s="425" t="s">
        <v>368</v>
      </c>
      <c r="L60" s="421" t="s">
        <v>249</v>
      </c>
      <c r="M60" s="421" t="s">
        <v>249</v>
      </c>
      <c r="N60" s="421" t="s">
        <v>249</v>
      </c>
      <c r="O60" s="421" t="s">
        <v>249</v>
      </c>
      <c r="P60" s="424"/>
      <c r="Q60" s="424" t="s">
        <v>368</v>
      </c>
      <c r="R60" s="424" t="s">
        <v>368</v>
      </c>
      <c r="S60" s="424" t="s">
        <v>368</v>
      </c>
      <c r="T60" s="424" t="s">
        <v>368</v>
      </c>
      <c r="U60" s="424" t="s">
        <v>368</v>
      </c>
      <c r="V60" s="424" t="s">
        <v>368</v>
      </c>
      <c r="W60" s="424" t="s">
        <v>368</v>
      </c>
      <c r="X60" s="424" t="s">
        <v>368</v>
      </c>
      <c r="Y60" s="424" t="s">
        <v>368</v>
      </c>
      <c r="Z60" s="424" t="s">
        <v>368</v>
      </c>
      <c r="AA60" s="424" t="s">
        <v>368</v>
      </c>
      <c r="AB60" s="424" t="s">
        <v>368</v>
      </c>
      <c r="AC60" s="426" t="s">
        <v>248</v>
      </c>
      <c r="AD60" s="424"/>
      <c r="AE60" s="427" t="s">
        <v>139</v>
      </c>
    </row>
    <row r="61" spans="1:31" s="328" customFormat="1" ht="110.25">
      <c r="A61" s="321" t="str">
        <f>1!A64</f>
        <v>1.4.2.11</v>
      </c>
      <c r="B61" s="433" t="str">
        <f>1!B64</f>
        <v>Строительство КЛ-0,4 кВ от РП-2 (С-2) до ВРУ тренировочной площадки стадиона "Спартак" ул.Калинина,3 (линия 2), г.Железноводск, L= 0,245 км (АВБбШв 4х240)</v>
      </c>
      <c r="C61" s="516" t="str">
        <f>1!C64</f>
        <v>G_Gelezno_ТР11</v>
      </c>
      <c r="D61" s="424"/>
      <c r="E61" s="425" t="s">
        <v>368</v>
      </c>
      <c r="F61" s="425" t="s">
        <v>368</v>
      </c>
      <c r="G61" s="425" t="s">
        <v>368</v>
      </c>
      <c r="H61" s="425" t="s">
        <v>368</v>
      </c>
      <c r="I61" s="425" t="s">
        <v>368</v>
      </c>
      <c r="J61" s="425" t="s">
        <v>368</v>
      </c>
      <c r="K61" s="425" t="s">
        <v>368</v>
      </c>
      <c r="L61" s="421" t="s">
        <v>249</v>
      </c>
      <c r="M61" s="421" t="s">
        <v>249</v>
      </c>
      <c r="N61" s="421" t="s">
        <v>249</v>
      </c>
      <c r="O61" s="421" t="s">
        <v>249</v>
      </c>
      <c r="P61" s="424"/>
      <c r="Q61" s="424" t="s">
        <v>368</v>
      </c>
      <c r="R61" s="424" t="s">
        <v>368</v>
      </c>
      <c r="S61" s="424" t="s">
        <v>368</v>
      </c>
      <c r="T61" s="424" t="s">
        <v>368</v>
      </c>
      <c r="U61" s="424" t="s">
        <v>368</v>
      </c>
      <c r="V61" s="424" t="s">
        <v>368</v>
      </c>
      <c r="W61" s="424" t="s">
        <v>368</v>
      </c>
      <c r="X61" s="424" t="s">
        <v>368</v>
      </c>
      <c r="Y61" s="424" t="s">
        <v>368</v>
      </c>
      <c r="Z61" s="424" t="s">
        <v>368</v>
      </c>
      <c r="AA61" s="424" t="s">
        <v>368</v>
      </c>
      <c r="AB61" s="424" t="s">
        <v>368</v>
      </c>
      <c r="AC61" s="426" t="s">
        <v>248</v>
      </c>
      <c r="AD61" s="424"/>
      <c r="AE61" s="427" t="s">
        <v>139</v>
      </c>
    </row>
    <row r="62" spans="1:31" s="328" customFormat="1" ht="110.25">
      <c r="A62" s="321" t="str">
        <f>1!A65</f>
        <v>1.4.2.12</v>
      </c>
      <c r="B62" s="433" t="str">
        <f>1!B65</f>
        <v>Строительство КТП-248 ул.Тихая,8, п.Иноземцево (ТМГ-250 кВА)</v>
      </c>
      <c r="C62" s="516" t="str">
        <f>1!C65</f>
        <v>G_Gelezno_ТР12</v>
      </c>
      <c r="D62" s="424"/>
      <c r="E62" s="425" t="s">
        <v>368</v>
      </c>
      <c r="F62" s="425" t="s">
        <v>368</v>
      </c>
      <c r="G62" s="425" t="s">
        <v>368</v>
      </c>
      <c r="H62" s="425" t="s">
        <v>368</v>
      </c>
      <c r="I62" s="425" t="s">
        <v>368</v>
      </c>
      <c r="J62" s="425" t="s">
        <v>368</v>
      </c>
      <c r="K62" s="425" t="s">
        <v>368</v>
      </c>
      <c r="L62" s="421" t="s">
        <v>249</v>
      </c>
      <c r="M62" s="421" t="s">
        <v>249</v>
      </c>
      <c r="N62" s="421" t="s">
        <v>249</v>
      </c>
      <c r="O62" s="421" t="s">
        <v>249</v>
      </c>
      <c r="P62" s="424"/>
      <c r="Q62" s="424" t="s">
        <v>368</v>
      </c>
      <c r="R62" s="424" t="s">
        <v>368</v>
      </c>
      <c r="S62" s="424" t="s">
        <v>368</v>
      </c>
      <c r="T62" s="424" t="s">
        <v>368</v>
      </c>
      <c r="U62" s="424" t="s">
        <v>368</v>
      </c>
      <c r="V62" s="424" t="s">
        <v>368</v>
      </c>
      <c r="W62" s="424" t="s">
        <v>368</v>
      </c>
      <c r="X62" s="424" t="s">
        <v>368</v>
      </c>
      <c r="Y62" s="424" t="s">
        <v>368</v>
      </c>
      <c r="Z62" s="424" t="s">
        <v>368</v>
      </c>
      <c r="AA62" s="424" t="s">
        <v>368</v>
      </c>
      <c r="AB62" s="424" t="s">
        <v>368</v>
      </c>
      <c r="AC62" s="426" t="s">
        <v>248</v>
      </c>
      <c r="AD62" s="424"/>
      <c r="AE62" s="427" t="s">
        <v>139</v>
      </c>
    </row>
    <row r="63" spans="1:31" s="328" customFormat="1" ht="110.25">
      <c r="A63" s="321" t="str">
        <f>1!A66</f>
        <v>1.4.2.13</v>
      </c>
      <c r="B63" s="433" t="str">
        <f>1!B66</f>
        <v>Строительство ВЛ-0,4 кВ от КТП-233 до ВРУ магазина ул.Вокзальная, 46А, п.Иноземцево, L= 0,408 км (СИП-2 3х50+1х54,6)</v>
      </c>
      <c r="C63" s="516" t="str">
        <f>1!C66</f>
        <v>G_Gelezno_ТР13</v>
      </c>
      <c r="D63" s="424"/>
      <c r="E63" s="425" t="s">
        <v>368</v>
      </c>
      <c r="F63" s="425" t="s">
        <v>368</v>
      </c>
      <c r="G63" s="425" t="s">
        <v>368</v>
      </c>
      <c r="H63" s="425" t="s">
        <v>368</v>
      </c>
      <c r="I63" s="425" t="s">
        <v>368</v>
      </c>
      <c r="J63" s="425" t="s">
        <v>368</v>
      </c>
      <c r="K63" s="425" t="s">
        <v>368</v>
      </c>
      <c r="L63" s="421" t="s">
        <v>249</v>
      </c>
      <c r="M63" s="421" t="s">
        <v>249</v>
      </c>
      <c r="N63" s="421" t="s">
        <v>249</v>
      </c>
      <c r="O63" s="421" t="s">
        <v>249</v>
      </c>
      <c r="P63" s="424"/>
      <c r="Q63" s="424" t="s">
        <v>368</v>
      </c>
      <c r="R63" s="424" t="s">
        <v>368</v>
      </c>
      <c r="S63" s="424" t="s">
        <v>368</v>
      </c>
      <c r="T63" s="424" t="s">
        <v>368</v>
      </c>
      <c r="U63" s="424" t="s">
        <v>368</v>
      </c>
      <c r="V63" s="424" t="s">
        <v>368</v>
      </c>
      <c r="W63" s="424" t="s">
        <v>368</v>
      </c>
      <c r="X63" s="424" t="s">
        <v>368</v>
      </c>
      <c r="Y63" s="424" t="s">
        <v>368</v>
      </c>
      <c r="Z63" s="424" t="s">
        <v>368</v>
      </c>
      <c r="AA63" s="424" t="s">
        <v>368</v>
      </c>
      <c r="AB63" s="424" t="s">
        <v>368</v>
      </c>
      <c r="AC63" s="426" t="s">
        <v>248</v>
      </c>
      <c r="AD63" s="424"/>
      <c r="AE63" s="427" t="s">
        <v>139</v>
      </c>
    </row>
    <row r="64" spans="1:31" s="328" customFormat="1" ht="110.25">
      <c r="A64" s="321" t="str">
        <f>1!A67</f>
        <v>1.4.2.14</v>
      </c>
      <c r="B64" s="433" t="str">
        <f>1!B67</f>
        <v>Строительство ВЛ-0,4 кВ от РУ-0,4кВ ТП-75 (С-1) по ул.Ленина район дома 123, г.Железноводск, L= 0,143 км (СИП-2 3х50+1х54,6)</v>
      </c>
      <c r="C64" s="516" t="str">
        <f>1!C67</f>
        <v>G_Gelezno_ТР14</v>
      </c>
      <c r="D64" s="424"/>
      <c r="E64" s="425" t="s">
        <v>368</v>
      </c>
      <c r="F64" s="425" t="s">
        <v>368</v>
      </c>
      <c r="G64" s="425" t="s">
        <v>368</v>
      </c>
      <c r="H64" s="425" t="s">
        <v>368</v>
      </c>
      <c r="I64" s="425" t="s">
        <v>368</v>
      </c>
      <c r="J64" s="425" t="s">
        <v>368</v>
      </c>
      <c r="K64" s="425" t="s">
        <v>368</v>
      </c>
      <c r="L64" s="421" t="s">
        <v>249</v>
      </c>
      <c r="M64" s="421" t="s">
        <v>249</v>
      </c>
      <c r="N64" s="421" t="s">
        <v>249</v>
      </c>
      <c r="O64" s="421" t="s">
        <v>249</v>
      </c>
      <c r="P64" s="424"/>
      <c r="Q64" s="424" t="s">
        <v>368</v>
      </c>
      <c r="R64" s="424" t="s">
        <v>368</v>
      </c>
      <c r="S64" s="424" t="s">
        <v>368</v>
      </c>
      <c r="T64" s="424" t="s">
        <v>368</v>
      </c>
      <c r="U64" s="424" t="s">
        <v>368</v>
      </c>
      <c r="V64" s="424" t="s">
        <v>368</v>
      </c>
      <c r="W64" s="424" t="s">
        <v>368</v>
      </c>
      <c r="X64" s="424" t="s">
        <v>368</v>
      </c>
      <c r="Y64" s="424" t="s">
        <v>368</v>
      </c>
      <c r="Z64" s="424" t="s">
        <v>368</v>
      </c>
      <c r="AA64" s="424" t="s">
        <v>368</v>
      </c>
      <c r="AB64" s="424" t="s">
        <v>368</v>
      </c>
      <c r="AC64" s="426" t="s">
        <v>248</v>
      </c>
      <c r="AD64" s="424"/>
      <c r="AE64" s="427" t="s">
        <v>139</v>
      </c>
    </row>
    <row r="65" spans="1:31" s="328" customFormat="1" ht="110.25">
      <c r="A65" s="321" t="str">
        <f>1!A68</f>
        <v>1.4.2.15</v>
      </c>
      <c r="B65" s="433" t="str">
        <f>1!B68</f>
        <v>Строительство ВЛ-0,4кВ от РУ-0,4 кВ ТП-75 (С-2) по ул.Ленина район дома 123, г.Железноводск, L= 0,143 км (СИП-2 3х50+1х54,6)</v>
      </c>
      <c r="C65" s="516" t="str">
        <f>1!C68</f>
        <v>G_Gelezno_ТР15</v>
      </c>
      <c r="D65" s="424"/>
      <c r="E65" s="425" t="s">
        <v>368</v>
      </c>
      <c r="F65" s="425" t="s">
        <v>368</v>
      </c>
      <c r="G65" s="425" t="s">
        <v>368</v>
      </c>
      <c r="H65" s="425" t="s">
        <v>368</v>
      </c>
      <c r="I65" s="425" t="s">
        <v>368</v>
      </c>
      <c r="J65" s="425" t="s">
        <v>368</v>
      </c>
      <c r="K65" s="425" t="s">
        <v>368</v>
      </c>
      <c r="L65" s="421" t="s">
        <v>249</v>
      </c>
      <c r="M65" s="421" t="s">
        <v>249</v>
      </c>
      <c r="N65" s="421" t="s">
        <v>249</v>
      </c>
      <c r="O65" s="421" t="s">
        <v>249</v>
      </c>
      <c r="P65" s="424"/>
      <c r="Q65" s="424" t="s">
        <v>368</v>
      </c>
      <c r="R65" s="424" t="s">
        <v>368</v>
      </c>
      <c r="S65" s="424" t="s">
        <v>368</v>
      </c>
      <c r="T65" s="424" t="s">
        <v>368</v>
      </c>
      <c r="U65" s="424" t="s">
        <v>368</v>
      </c>
      <c r="V65" s="424" t="s">
        <v>368</v>
      </c>
      <c r="W65" s="424" t="s">
        <v>368</v>
      </c>
      <c r="X65" s="424" t="s">
        <v>368</v>
      </c>
      <c r="Y65" s="424" t="s">
        <v>368</v>
      </c>
      <c r="Z65" s="424" t="s">
        <v>368</v>
      </c>
      <c r="AA65" s="424" t="s">
        <v>368</v>
      </c>
      <c r="AB65" s="424" t="s">
        <v>368</v>
      </c>
      <c r="AC65" s="426" t="s">
        <v>248</v>
      </c>
      <c r="AD65" s="424"/>
      <c r="AE65" s="427" t="s">
        <v>139</v>
      </c>
    </row>
    <row r="66" spans="1:31" s="328" customFormat="1" ht="110.25">
      <c r="A66" s="321" t="str">
        <f>1!A69</f>
        <v>1.4.2.16</v>
      </c>
      <c r="B66" s="433" t="str">
        <f>1!B69</f>
        <v>Строительство КЛ-0,4 кВ от ВРУ-1 до ВРУ-2 в ЖК "Вишнёвый сад" (2-ая очередь), п.Иноземцево, L= 0,04 км (АВБбШв 4х120)</v>
      </c>
      <c r="C66" s="516" t="str">
        <f>1!C69</f>
        <v>G_Gelezno_ТР16</v>
      </c>
      <c r="D66" s="424"/>
      <c r="E66" s="425" t="s">
        <v>368</v>
      </c>
      <c r="F66" s="425" t="s">
        <v>368</v>
      </c>
      <c r="G66" s="425" t="s">
        <v>368</v>
      </c>
      <c r="H66" s="425" t="s">
        <v>368</v>
      </c>
      <c r="I66" s="425" t="s">
        <v>368</v>
      </c>
      <c r="J66" s="425" t="s">
        <v>368</v>
      </c>
      <c r="K66" s="425" t="s">
        <v>368</v>
      </c>
      <c r="L66" s="421" t="s">
        <v>249</v>
      </c>
      <c r="M66" s="421" t="s">
        <v>249</v>
      </c>
      <c r="N66" s="421" t="s">
        <v>249</v>
      </c>
      <c r="O66" s="421" t="s">
        <v>249</v>
      </c>
      <c r="P66" s="424"/>
      <c r="Q66" s="424" t="s">
        <v>368</v>
      </c>
      <c r="R66" s="424" t="s">
        <v>368</v>
      </c>
      <c r="S66" s="424" t="s">
        <v>368</v>
      </c>
      <c r="T66" s="424" t="s">
        <v>368</v>
      </c>
      <c r="U66" s="424" t="s">
        <v>368</v>
      </c>
      <c r="V66" s="424" t="s">
        <v>368</v>
      </c>
      <c r="W66" s="424" t="s">
        <v>368</v>
      </c>
      <c r="X66" s="424" t="s">
        <v>368</v>
      </c>
      <c r="Y66" s="424" t="s">
        <v>368</v>
      </c>
      <c r="Z66" s="424" t="s">
        <v>368</v>
      </c>
      <c r="AA66" s="424" t="s">
        <v>368</v>
      </c>
      <c r="AB66" s="424" t="s">
        <v>368</v>
      </c>
      <c r="AC66" s="426" t="s">
        <v>248</v>
      </c>
      <c r="AD66" s="424"/>
      <c r="AE66" s="427" t="s">
        <v>139</v>
      </c>
    </row>
    <row r="67" spans="1:31" s="328" customFormat="1" ht="110.25">
      <c r="A67" s="321" t="str">
        <f>1!A70</f>
        <v>1.4.2.17</v>
      </c>
      <c r="B67" s="433" t="str">
        <f>1!B70</f>
        <v>Строительство КЛ-0,4кВ от ВРУ-11 до ВРУ-12 в ЖК"Вишнёвый сад" (2-ая очередь), п.Иноземцево, L= 0,035 км (АВБбШв 4х95)</v>
      </c>
      <c r="C67" s="516" t="str">
        <f>1!C70</f>
        <v>G_Gelezno_ТР17</v>
      </c>
      <c r="D67" s="424"/>
      <c r="E67" s="425" t="s">
        <v>368</v>
      </c>
      <c r="F67" s="425" t="s">
        <v>368</v>
      </c>
      <c r="G67" s="425" t="s">
        <v>368</v>
      </c>
      <c r="H67" s="425" t="s">
        <v>368</v>
      </c>
      <c r="I67" s="425" t="s">
        <v>368</v>
      </c>
      <c r="J67" s="425" t="s">
        <v>368</v>
      </c>
      <c r="K67" s="425" t="s">
        <v>368</v>
      </c>
      <c r="L67" s="421" t="s">
        <v>249</v>
      </c>
      <c r="M67" s="421" t="s">
        <v>249</v>
      </c>
      <c r="N67" s="421" t="s">
        <v>249</v>
      </c>
      <c r="O67" s="421" t="s">
        <v>249</v>
      </c>
      <c r="P67" s="424"/>
      <c r="Q67" s="424" t="s">
        <v>368</v>
      </c>
      <c r="R67" s="424" t="s">
        <v>368</v>
      </c>
      <c r="S67" s="424" t="s">
        <v>368</v>
      </c>
      <c r="T67" s="424" t="s">
        <v>368</v>
      </c>
      <c r="U67" s="424" t="s">
        <v>368</v>
      </c>
      <c r="V67" s="424" t="s">
        <v>368</v>
      </c>
      <c r="W67" s="424" t="s">
        <v>368</v>
      </c>
      <c r="X67" s="424" t="s">
        <v>368</v>
      </c>
      <c r="Y67" s="424" t="s">
        <v>368</v>
      </c>
      <c r="Z67" s="424" t="s">
        <v>368</v>
      </c>
      <c r="AA67" s="424" t="s">
        <v>368</v>
      </c>
      <c r="AB67" s="424" t="s">
        <v>368</v>
      </c>
      <c r="AC67" s="426" t="s">
        <v>248</v>
      </c>
      <c r="AD67" s="424"/>
      <c r="AE67" s="427" t="s">
        <v>139</v>
      </c>
    </row>
    <row r="68" spans="1:31" s="328" customFormat="1" ht="110.25">
      <c r="A68" s="321" t="str">
        <f>1!A71</f>
        <v>1.4.2.18</v>
      </c>
      <c r="B68" s="433" t="str">
        <f>1!B71</f>
        <v>Строительство КЛ-0,4кВ от ВРУ-13 до ВРУ-14 в ЖК"Вишнёвый сад" (2-ая очередь), п.Иноземцево, L= 0,035 км (АВБбШв 4х95)</v>
      </c>
      <c r="C68" s="516" t="str">
        <f>1!C71</f>
        <v>G_Gelezno_ТР18</v>
      </c>
      <c r="D68" s="424"/>
      <c r="E68" s="425" t="s">
        <v>368</v>
      </c>
      <c r="F68" s="425" t="s">
        <v>368</v>
      </c>
      <c r="G68" s="425" t="s">
        <v>368</v>
      </c>
      <c r="H68" s="425" t="s">
        <v>368</v>
      </c>
      <c r="I68" s="425" t="s">
        <v>368</v>
      </c>
      <c r="J68" s="425" t="s">
        <v>368</v>
      </c>
      <c r="K68" s="425" t="s">
        <v>368</v>
      </c>
      <c r="L68" s="421" t="s">
        <v>249</v>
      </c>
      <c r="M68" s="421" t="s">
        <v>249</v>
      </c>
      <c r="N68" s="421" t="s">
        <v>249</v>
      </c>
      <c r="O68" s="421" t="s">
        <v>249</v>
      </c>
      <c r="P68" s="424"/>
      <c r="Q68" s="424" t="s">
        <v>368</v>
      </c>
      <c r="R68" s="424" t="s">
        <v>368</v>
      </c>
      <c r="S68" s="424" t="s">
        <v>368</v>
      </c>
      <c r="T68" s="424" t="s">
        <v>368</v>
      </c>
      <c r="U68" s="424" t="s">
        <v>368</v>
      </c>
      <c r="V68" s="424" t="s">
        <v>368</v>
      </c>
      <c r="W68" s="424" t="s">
        <v>368</v>
      </c>
      <c r="X68" s="424" t="s">
        <v>368</v>
      </c>
      <c r="Y68" s="424" t="s">
        <v>368</v>
      </c>
      <c r="Z68" s="424" t="s">
        <v>368</v>
      </c>
      <c r="AA68" s="424" t="s">
        <v>368</v>
      </c>
      <c r="AB68" s="424" t="s">
        <v>368</v>
      </c>
      <c r="AC68" s="426" t="s">
        <v>248</v>
      </c>
      <c r="AD68" s="424"/>
      <c r="AE68" s="427" t="s">
        <v>139</v>
      </c>
    </row>
    <row r="69" spans="1:31" s="328" customFormat="1" ht="110.25">
      <c r="A69" s="321" t="str">
        <f>1!A72</f>
        <v>1.4.2.19</v>
      </c>
      <c r="B69" s="433" t="str">
        <f>1!B72</f>
        <v>Строительство КЛ-0,4 кВ от ВРУ-9 до ВРУ-10 в ЖК "Вишнёвый сад" (2-ая очередь), п.Иноземцево, L= 0,035 км (АВБбШв 4х95)</v>
      </c>
      <c r="C69" s="516" t="str">
        <f>1!C72</f>
        <v>G_Gelezno_ТР19</v>
      </c>
      <c r="D69" s="424"/>
      <c r="E69" s="425" t="s">
        <v>368</v>
      </c>
      <c r="F69" s="425" t="s">
        <v>368</v>
      </c>
      <c r="G69" s="425" t="s">
        <v>368</v>
      </c>
      <c r="H69" s="425" t="s">
        <v>368</v>
      </c>
      <c r="I69" s="425" t="s">
        <v>368</v>
      </c>
      <c r="J69" s="425" t="s">
        <v>368</v>
      </c>
      <c r="K69" s="425" t="s">
        <v>368</v>
      </c>
      <c r="L69" s="421" t="s">
        <v>249</v>
      </c>
      <c r="M69" s="421" t="s">
        <v>249</v>
      </c>
      <c r="N69" s="421" t="s">
        <v>249</v>
      </c>
      <c r="O69" s="421" t="s">
        <v>249</v>
      </c>
      <c r="P69" s="424"/>
      <c r="Q69" s="424" t="s">
        <v>368</v>
      </c>
      <c r="R69" s="424" t="s">
        <v>368</v>
      </c>
      <c r="S69" s="424" t="s">
        <v>368</v>
      </c>
      <c r="T69" s="424" t="s">
        <v>368</v>
      </c>
      <c r="U69" s="424" t="s">
        <v>368</v>
      </c>
      <c r="V69" s="424" t="s">
        <v>368</v>
      </c>
      <c r="W69" s="424" t="s">
        <v>368</v>
      </c>
      <c r="X69" s="424" t="s">
        <v>368</v>
      </c>
      <c r="Y69" s="424" t="s">
        <v>368</v>
      </c>
      <c r="Z69" s="424" t="s">
        <v>368</v>
      </c>
      <c r="AA69" s="424" t="s">
        <v>368</v>
      </c>
      <c r="AB69" s="424" t="s">
        <v>368</v>
      </c>
      <c r="AC69" s="426" t="s">
        <v>248</v>
      </c>
      <c r="AD69" s="424"/>
      <c r="AE69" s="427" t="s">
        <v>139</v>
      </c>
    </row>
    <row r="70" spans="1:31" s="328" customFormat="1" ht="110.25">
      <c r="A70" s="321" t="str">
        <f>1!A73</f>
        <v>1.4.2.20</v>
      </c>
      <c r="B70" s="433" t="str">
        <f>1!B73</f>
        <v>Строительство КЛ-0,4 кВ от РУ-0,4 кВ 2КТП-244 до ВРУ-10 в ЖК "Вишнёвый сад" (2-ая очередь), п.Иноземцево, L= 0,19 км (АВБбШв 4х120)</v>
      </c>
      <c r="C70" s="516" t="str">
        <f>1!C73</f>
        <v>G_Gelezno_ТР20</v>
      </c>
      <c r="D70" s="424"/>
      <c r="E70" s="425" t="s">
        <v>368</v>
      </c>
      <c r="F70" s="425" t="s">
        <v>368</v>
      </c>
      <c r="G70" s="425" t="s">
        <v>368</v>
      </c>
      <c r="H70" s="425" t="s">
        <v>368</v>
      </c>
      <c r="I70" s="425" t="s">
        <v>368</v>
      </c>
      <c r="J70" s="425" t="s">
        <v>368</v>
      </c>
      <c r="K70" s="425" t="s">
        <v>368</v>
      </c>
      <c r="L70" s="421" t="s">
        <v>249</v>
      </c>
      <c r="M70" s="421" t="s">
        <v>249</v>
      </c>
      <c r="N70" s="421" t="s">
        <v>249</v>
      </c>
      <c r="O70" s="421" t="s">
        <v>249</v>
      </c>
      <c r="P70" s="424"/>
      <c r="Q70" s="424" t="s">
        <v>368</v>
      </c>
      <c r="R70" s="424" t="s">
        <v>368</v>
      </c>
      <c r="S70" s="424" t="s">
        <v>368</v>
      </c>
      <c r="T70" s="424" t="s">
        <v>368</v>
      </c>
      <c r="U70" s="424" t="s">
        <v>368</v>
      </c>
      <c r="V70" s="424" t="s">
        <v>368</v>
      </c>
      <c r="W70" s="424" t="s">
        <v>368</v>
      </c>
      <c r="X70" s="424" t="s">
        <v>368</v>
      </c>
      <c r="Y70" s="424" t="s">
        <v>368</v>
      </c>
      <c r="Z70" s="424" t="s">
        <v>368</v>
      </c>
      <c r="AA70" s="424" t="s">
        <v>368</v>
      </c>
      <c r="AB70" s="424" t="s">
        <v>368</v>
      </c>
      <c r="AC70" s="426" t="s">
        <v>248</v>
      </c>
      <c r="AD70" s="424"/>
      <c r="AE70" s="427" t="s">
        <v>139</v>
      </c>
    </row>
    <row r="71" spans="1:31" s="328" customFormat="1" ht="110.25">
      <c r="A71" s="321" t="str">
        <f>1!A74</f>
        <v>1.4.2.21</v>
      </c>
      <c r="B71" s="433" t="str">
        <f>1!B74</f>
        <v>Строительство КЛ-0,4 кВ от РУ-0,4 кВ 2КТП-244 до ВРУ-11 в ЖК "Вишнёвый сад" (2-ая очередь), п.Иноземцево, L= 0,14 км (АВБбШв 4х95)</v>
      </c>
      <c r="C71" s="516" t="str">
        <f>1!C74</f>
        <v>G_Gelezno_ТР21</v>
      </c>
      <c r="D71" s="424"/>
      <c r="E71" s="425" t="s">
        <v>368</v>
      </c>
      <c r="F71" s="425" t="s">
        <v>368</v>
      </c>
      <c r="G71" s="425" t="s">
        <v>368</v>
      </c>
      <c r="H71" s="425" t="s">
        <v>368</v>
      </c>
      <c r="I71" s="425" t="s">
        <v>368</v>
      </c>
      <c r="J71" s="425" t="s">
        <v>368</v>
      </c>
      <c r="K71" s="425" t="s">
        <v>368</v>
      </c>
      <c r="L71" s="421" t="s">
        <v>249</v>
      </c>
      <c r="M71" s="421" t="s">
        <v>249</v>
      </c>
      <c r="N71" s="421" t="s">
        <v>249</v>
      </c>
      <c r="O71" s="421" t="s">
        <v>249</v>
      </c>
      <c r="P71" s="424"/>
      <c r="Q71" s="424" t="s">
        <v>368</v>
      </c>
      <c r="R71" s="424" t="s">
        <v>368</v>
      </c>
      <c r="S71" s="424" t="s">
        <v>368</v>
      </c>
      <c r="T71" s="424" t="s">
        <v>368</v>
      </c>
      <c r="U71" s="424" t="s">
        <v>368</v>
      </c>
      <c r="V71" s="424" t="s">
        <v>368</v>
      </c>
      <c r="W71" s="424" t="s">
        <v>368</v>
      </c>
      <c r="X71" s="424" t="s">
        <v>368</v>
      </c>
      <c r="Y71" s="424" t="s">
        <v>368</v>
      </c>
      <c r="Z71" s="424" t="s">
        <v>368</v>
      </c>
      <c r="AA71" s="424" t="s">
        <v>368</v>
      </c>
      <c r="AB71" s="424" t="s">
        <v>368</v>
      </c>
      <c r="AC71" s="426" t="s">
        <v>248</v>
      </c>
      <c r="AD71" s="424"/>
      <c r="AE71" s="427" t="s">
        <v>139</v>
      </c>
    </row>
    <row r="72" spans="1:31" s="328" customFormat="1" ht="110.25">
      <c r="A72" s="321" t="str">
        <f>1!A75</f>
        <v>1.4.2.22</v>
      </c>
      <c r="B72" s="433" t="str">
        <f>1!B75</f>
        <v>Строительство КЛ-0,4 кВ от РУ-0,4 кВ 2КТП-244 до ВРУ-13 в ЖК "Вишнёвый сад" (2-ая очередь), п.Иноземцево, L= 0,06 км (АВБбШв 4х120)</v>
      </c>
      <c r="C72" s="516" t="str">
        <f>1!C75</f>
        <v>G_Gelezno_ТР22</v>
      </c>
      <c r="D72" s="424"/>
      <c r="E72" s="425" t="s">
        <v>368</v>
      </c>
      <c r="F72" s="425" t="s">
        <v>368</v>
      </c>
      <c r="G72" s="425" t="s">
        <v>368</v>
      </c>
      <c r="H72" s="425" t="s">
        <v>368</v>
      </c>
      <c r="I72" s="425" t="s">
        <v>368</v>
      </c>
      <c r="J72" s="425" t="s">
        <v>368</v>
      </c>
      <c r="K72" s="425" t="s">
        <v>368</v>
      </c>
      <c r="L72" s="421" t="s">
        <v>249</v>
      </c>
      <c r="M72" s="421" t="s">
        <v>249</v>
      </c>
      <c r="N72" s="421" t="s">
        <v>249</v>
      </c>
      <c r="O72" s="421" t="s">
        <v>249</v>
      </c>
      <c r="P72" s="424"/>
      <c r="Q72" s="424" t="s">
        <v>368</v>
      </c>
      <c r="R72" s="424" t="s">
        <v>368</v>
      </c>
      <c r="S72" s="424" t="s">
        <v>368</v>
      </c>
      <c r="T72" s="424" t="s">
        <v>368</v>
      </c>
      <c r="U72" s="424" t="s">
        <v>368</v>
      </c>
      <c r="V72" s="424" t="s">
        <v>368</v>
      </c>
      <c r="W72" s="424" t="s">
        <v>368</v>
      </c>
      <c r="X72" s="424" t="s">
        <v>368</v>
      </c>
      <c r="Y72" s="424" t="s">
        <v>368</v>
      </c>
      <c r="Z72" s="424" t="s">
        <v>368</v>
      </c>
      <c r="AA72" s="424" t="s">
        <v>368</v>
      </c>
      <c r="AB72" s="424" t="s">
        <v>368</v>
      </c>
      <c r="AC72" s="426" t="s">
        <v>248</v>
      </c>
      <c r="AD72" s="424"/>
      <c r="AE72" s="427" t="s">
        <v>139</v>
      </c>
    </row>
    <row r="73" spans="1:31" s="328" customFormat="1" ht="110.25">
      <c r="A73" s="321" t="str">
        <f>1!A76</f>
        <v>1.4.2.23</v>
      </c>
      <c r="B73" s="433" t="str">
        <f>1!B76</f>
        <v>Строительство КЛ-0,4 кВ от РУ-0,4 кВ 2КТП-244 до ВРУ-14 в ЖК "Вишнёвый сад" (2-ая очередь), п.Иноземцево, L= 0,1 км (АВБбШв 4х120)</v>
      </c>
      <c r="C73" s="516" t="str">
        <f>1!C76</f>
        <v>G_Gelezno_ТР23</v>
      </c>
      <c r="D73" s="424"/>
      <c r="E73" s="425" t="s">
        <v>368</v>
      </c>
      <c r="F73" s="425" t="s">
        <v>368</v>
      </c>
      <c r="G73" s="425" t="s">
        <v>368</v>
      </c>
      <c r="H73" s="425" t="s">
        <v>368</v>
      </c>
      <c r="I73" s="425" t="s">
        <v>368</v>
      </c>
      <c r="J73" s="425" t="s">
        <v>368</v>
      </c>
      <c r="K73" s="425" t="s">
        <v>368</v>
      </c>
      <c r="L73" s="421" t="s">
        <v>249</v>
      </c>
      <c r="M73" s="421" t="s">
        <v>249</v>
      </c>
      <c r="N73" s="421" t="s">
        <v>249</v>
      </c>
      <c r="O73" s="421" t="s">
        <v>249</v>
      </c>
      <c r="P73" s="424"/>
      <c r="Q73" s="424" t="s">
        <v>368</v>
      </c>
      <c r="R73" s="424" t="s">
        <v>368</v>
      </c>
      <c r="S73" s="424" t="s">
        <v>368</v>
      </c>
      <c r="T73" s="424" t="s">
        <v>368</v>
      </c>
      <c r="U73" s="424" t="s">
        <v>368</v>
      </c>
      <c r="V73" s="424" t="s">
        <v>368</v>
      </c>
      <c r="W73" s="424" t="s">
        <v>368</v>
      </c>
      <c r="X73" s="424" t="s">
        <v>368</v>
      </c>
      <c r="Y73" s="424" t="s">
        <v>368</v>
      </c>
      <c r="Z73" s="424" t="s">
        <v>368</v>
      </c>
      <c r="AA73" s="424" t="s">
        <v>368</v>
      </c>
      <c r="AB73" s="424" t="s">
        <v>368</v>
      </c>
      <c r="AC73" s="426" t="s">
        <v>248</v>
      </c>
      <c r="AD73" s="424"/>
      <c r="AE73" s="427" t="s">
        <v>139</v>
      </c>
    </row>
    <row r="74" spans="1:31" s="328" customFormat="1" ht="110.25">
      <c r="A74" s="321" t="str">
        <f>1!A77</f>
        <v>1.4.2.24</v>
      </c>
      <c r="B74" s="433" t="str">
        <f>1!B77</f>
        <v>Строительство КЛ-0,4 кВ от РУ-0,4 кВ 2КТП-244 до ВРУ-16 в ЖК "Вишнёвый сад" (2-ая очередь), п.Иноземцево, L= 0,11 км (АВБбШв 4х95)</v>
      </c>
      <c r="C74" s="516" t="str">
        <f>1!C77</f>
        <v>G_Gelezno_ТР24</v>
      </c>
      <c r="D74" s="424"/>
      <c r="E74" s="425" t="s">
        <v>368</v>
      </c>
      <c r="F74" s="425" t="s">
        <v>368</v>
      </c>
      <c r="G74" s="425" t="s">
        <v>368</v>
      </c>
      <c r="H74" s="425" t="s">
        <v>368</v>
      </c>
      <c r="I74" s="425" t="s">
        <v>368</v>
      </c>
      <c r="J74" s="425" t="s">
        <v>368</v>
      </c>
      <c r="K74" s="425" t="s">
        <v>368</v>
      </c>
      <c r="L74" s="421" t="s">
        <v>249</v>
      </c>
      <c r="M74" s="421" t="s">
        <v>249</v>
      </c>
      <c r="N74" s="421" t="s">
        <v>249</v>
      </c>
      <c r="O74" s="421" t="s">
        <v>249</v>
      </c>
      <c r="P74" s="424"/>
      <c r="Q74" s="424" t="s">
        <v>368</v>
      </c>
      <c r="R74" s="424" t="s">
        <v>368</v>
      </c>
      <c r="S74" s="424" t="s">
        <v>368</v>
      </c>
      <c r="T74" s="424" t="s">
        <v>368</v>
      </c>
      <c r="U74" s="424" t="s">
        <v>368</v>
      </c>
      <c r="V74" s="424" t="s">
        <v>368</v>
      </c>
      <c r="W74" s="424" t="s">
        <v>368</v>
      </c>
      <c r="X74" s="424" t="s">
        <v>368</v>
      </c>
      <c r="Y74" s="424" t="s">
        <v>368</v>
      </c>
      <c r="Z74" s="424" t="s">
        <v>368</v>
      </c>
      <c r="AA74" s="424" t="s">
        <v>368</v>
      </c>
      <c r="AB74" s="424" t="s">
        <v>368</v>
      </c>
      <c r="AC74" s="426" t="s">
        <v>248</v>
      </c>
      <c r="AD74" s="424"/>
      <c r="AE74" s="427" t="s">
        <v>139</v>
      </c>
    </row>
    <row r="75" spans="1:31" s="328" customFormat="1" ht="110.25">
      <c r="A75" s="321" t="str">
        <f>1!A78</f>
        <v>1.4.2.25</v>
      </c>
      <c r="B75" s="433" t="str">
        <f>1!B78</f>
        <v>Строительство КЛ-0,4 кВ от РУ-0,4 кВ 2КТП-244 до ВРУ-9 в ЖК "Вишнёвый сад" (2-ая очередь), п.Иноземцево, L= 0,215 км (АВБбШв 4х120)</v>
      </c>
      <c r="C75" s="516" t="str">
        <f>1!C78</f>
        <v>G_Gelezno_ТР25</v>
      </c>
      <c r="D75" s="424"/>
      <c r="E75" s="425" t="s">
        <v>368</v>
      </c>
      <c r="F75" s="425" t="s">
        <v>368</v>
      </c>
      <c r="G75" s="425" t="s">
        <v>368</v>
      </c>
      <c r="H75" s="425" t="s">
        <v>368</v>
      </c>
      <c r="I75" s="425" t="s">
        <v>368</v>
      </c>
      <c r="J75" s="425" t="s">
        <v>368</v>
      </c>
      <c r="K75" s="425" t="s">
        <v>368</v>
      </c>
      <c r="L75" s="421" t="s">
        <v>249</v>
      </c>
      <c r="M75" s="421" t="s">
        <v>249</v>
      </c>
      <c r="N75" s="421" t="s">
        <v>249</v>
      </c>
      <c r="O75" s="421" t="s">
        <v>249</v>
      </c>
      <c r="P75" s="424"/>
      <c r="Q75" s="424" t="s">
        <v>368</v>
      </c>
      <c r="R75" s="424" t="s">
        <v>368</v>
      </c>
      <c r="S75" s="424" t="s">
        <v>368</v>
      </c>
      <c r="T75" s="424" t="s">
        <v>368</v>
      </c>
      <c r="U75" s="424" t="s">
        <v>368</v>
      </c>
      <c r="V75" s="424" t="s">
        <v>368</v>
      </c>
      <c r="W75" s="424" t="s">
        <v>368</v>
      </c>
      <c r="X75" s="424" t="s">
        <v>368</v>
      </c>
      <c r="Y75" s="424" t="s">
        <v>368</v>
      </c>
      <c r="Z75" s="424" t="s">
        <v>368</v>
      </c>
      <c r="AA75" s="424" t="s">
        <v>368</v>
      </c>
      <c r="AB75" s="424" t="s">
        <v>368</v>
      </c>
      <c r="AC75" s="426" t="s">
        <v>248</v>
      </c>
      <c r="AD75" s="424"/>
      <c r="AE75" s="427" t="s">
        <v>139</v>
      </c>
    </row>
    <row r="76" spans="1:31" s="328" customFormat="1" ht="110.25">
      <c r="A76" s="321" t="str">
        <f>1!A79</f>
        <v>1.4.2.26</v>
      </c>
      <c r="B76" s="433" t="str">
        <f>1!B79</f>
        <v>Строительство КЛ-0,4 кВ от ВРУ-1 МКЖД до ВРУ-2 МКЖД ул.Тихая,8, п.Иноземцево, L= 0,071 км (АВВГ 4х35)</v>
      </c>
      <c r="C76" s="516" t="str">
        <f>1!C79</f>
        <v>G_Gelezno_ТР26</v>
      </c>
      <c r="D76" s="424"/>
      <c r="E76" s="425" t="s">
        <v>368</v>
      </c>
      <c r="F76" s="425" t="s">
        <v>368</v>
      </c>
      <c r="G76" s="425" t="s">
        <v>368</v>
      </c>
      <c r="H76" s="425" t="s">
        <v>368</v>
      </c>
      <c r="I76" s="425" t="s">
        <v>368</v>
      </c>
      <c r="J76" s="425" t="s">
        <v>368</v>
      </c>
      <c r="K76" s="425" t="s">
        <v>368</v>
      </c>
      <c r="L76" s="421" t="s">
        <v>249</v>
      </c>
      <c r="M76" s="421" t="s">
        <v>249</v>
      </c>
      <c r="N76" s="421" t="s">
        <v>249</v>
      </c>
      <c r="O76" s="421" t="s">
        <v>249</v>
      </c>
      <c r="P76" s="424"/>
      <c r="Q76" s="424" t="s">
        <v>368</v>
      </c>
      <c r="R76" s="424" t="s">
        <v>368</v>
      </c>
      <c r="S76" s="424" t="s">
        <v>368</v>
      </c>
      <c r="T76" s="424" t="s">
        <v>368</v>
      </c>
      <c r="U76" s="424" t="s">
        <v>368</v>
      </c>
      <c r="V76" s="424" t="s">
        <v>368</v>
      </c>
      <c r="W76" s="424" t="s">
        <v>368</v>
      </c>
      <c r="X76" s="424" t="s">
        <v>368</v>
      </c>
      <c r="Y76" s="424" t="s">
        <v>368</v>
      </c>
      <c r="Z76" s="424" t="s">
        <v>368</v>
      </c>
      <c r="AA76" s="424" t="s">
        <v>368</v>
      </c>
      <c r="AB76" s="424" t="s">
        <v>368</v>
      </c>
      <c r="AC76" s="426" t="s">
        <v>248</v>
      </c>
      <c r="AD76" s="424"/>
      <c r="AE76" s="427" t="s">
        <v>139</v>
      </c>
    </row>
    <row r="77" spans="1:31" s="328" customFormat="1" ht="110.25">
      <c r="A77" s="321" t="str">
        <f>1!A80</f>
        <v>1.4.2.27</v>
      </c>
      <c r="B77" s="433" t="str">
        <f>1!B80</f>
        <v>Строительство КЛ-0,4 кВ от ВРУ-2 МКЖД до ВРУ-3 МКЖД ул.Тихая,8, п.Иноземцево, L= 0,025 км (АВВГ 4х35)</v>
      </c>
      <c r="C77" s="516" t="str">
        <f>1!C80</f>
        <v>G_Gelezno_ТР27</v>
      </c>
      <c r="D77" s="424"/>
      <c r="E77" s="425" t="s">
        <v>368</v>
      </c>
      <c r="F77" s="425" t="s">
        <v>368</v>
      </c>
      <c r="G77" s="425" t="s">
        <v>368</v>
      </c>
      <c r="H77" s="425" t="s">
        <v>368</v>
      </c>
      <c r="I77" s="425" t="s">
        <v>368</v>
      </c>
      <c r="J77" s="425" t="s">
        <v>368</v>
      </c>
      <c r="K77" s="425" t="s">
        <v>368</v>
      </c>
      <c r="L77" s="421" t="s">
        <v>249</v>
      </c>
      <c r="M77" s="421" t="s">
        <v>249</v>
      </c>
      <c r="N77" s="421" t="s">
        <v>249</v>
      </c>
      <c r="O77" s="421" t="s">
        <v>249</v>
      </c>
      <c r="P77" s="424"/>
      <c r="Q77" s="424" t="s">
        <v>368</v>
      </c>
      <c r="R77" s="424" t="s">
        <v>368</v>
      </c>
      <c r="S77" s="424" t="s">
        <v>368</v>
      </c>
      <c r="T77" s="424" t="s">
        <v>368</v>
      </c>
      <c r="U77" s="424" t="s">
        <v>368</v>
      </c>
      <c r="V77" s="424" t="s">
        <v>368</v>
      </c>
      <c r="W77" s="424" t="s">
        <v>368</v>
      </c>
      <c r="X77" s="424" t="s">
        <v>368</v>
      </c>
      <c r="Y77" s="424" t="s">
        <v>368</v>
      </c>
      <c r="Z77" s="424" t="s">
        <v>368</v>
      </c>
      <c r="AA77" s="424" t="s">
        <v>368</v>
      </c>
      <c r="AB77" s="424" t="s">
        <v>368</v>
      </c>
      <c r="AC77" s="426" t="s">
        <v>248</v>
      </c>
      <c r="AD77" s="424"/>
      <c r="AE77" s="427" t="s">
        <v>139</v>
      </c>
    </row>
    <row r="78" spans="1:31" s="328" customFormat="1" ht="110.25">
      <c r="A78" s="321" t="str">
        <f>1!A81</f>
        <v>1.4.2.28</v>
      </c>
      <c r="B78" s="433" t="str">
        <f>1!B81</f>
        <v>Строительство КЛ-0,4 кВ от ВРУ-3 МКЖД до РУ-0,4 кВ КТП-248 ул.Тихая,8, п.Иноземцево, L= 0,107 км (АВВГ 4х35)</v>
      </c>
      <c r="C78" s="516" t="str">
        <f>1!C81</f>
        <v>G_Gelezno_ТР28</v>
      </c>
      <c r="D78" s="424"/>
      <c r="E78" s="425" t="s">
        <v>368</v>
      </c>
      <c r="F78" s="425" t="s">
        <v>368</v>
      </c>
      <c r="G78" s="425" t="s">
        <v>368</v>
      </c>
      <c r="H78" s="425" t="s">
        <v>368</v>
      </c>
      <c r="I78" s="425" t="s">
        <v>368</v>
      </c>
      <c r="J78" s="425" t="s">
        <v>368</v>
      </c>
      <c r="K78" s="425" t="s">
        <v>368</v>
      </c>
      <c r="L78" s="421" t="s">
        <v>249</v>
      </c>
      <c r="M78" s="421" t="s">
        <v>249</v>
      </c>
      <c r="N78" s="421" t="s">
        <v>249</v>
      </c>
      <c r="O78" s="421" t="s">
        <v>249</v>
      </c>
      <c r="P78" s="424"/>
      <c r="Q78" s="424" t="s">
        <v>368</v>
      </c>
      <c r="R78" s="424" t="s">
        <v>368</v>
      </c>
      <c r="S78" s="424" t="s">
        <v>368</v>
      </c>
      <c r="T78" s="424" t="s">
        <v>368</v>
      </c>
      <c r="U78" s="424" t="s">
        <v>368</v>
      </c>
      <c r="V78" s="424" t="s">
        <v>368</v>
      </c>
      <c r="W78" s="424" t="s">
        <v>368</v>
      </c>
      <c r="X78" s="424" t="s">
        <v>368</v>
      </c>
      <c r="Y78" s="424" t="s">
        <v>368</v>
      </c>
      <c r="Z78" s="424" t="s">
        <v>368</v>
      </c>
      <c r="AA78" s="424" t="s">
        <v>368</v>
      </c>
      <c r="AB78" s="424" t="s">
        <v>368</v>
      </c>
      <c r="AC78" s="426" t="s">
        <v>248</v>
      </c>
      <c r="AD78" s="424"/>
      <c r="AE78" s="427" t="s">
        <v>139</v>
      </c>
    </row>
    <row r="79" spans="1:31" s="328" customFormat="1" ht="110.25">
      <c r="A79" s="321" t="str">
        <f>1!A82</f>
        <v>1.4.2.29</v>
      </c>
      <c r="B79" s="433" t="str">
        <f>1!B82</f>
        <v>Строительство КЛ-0,4 кВ от РУ-0,4 кВ КТП-248 до ВРУ-1 МКЖД ул.Тихая,8, п.Иноземцево, L= 0,102 км (АВВГ 4х35)</v>
      </c>
      <c r="C79" s="516" t="str">
        <f>1!C82</f>
        <v>G_Gelezno_ТР29</v>
      </c>
      <c r="D79" s="424"/>
      <c r="E79" s="425" t="s">
        <v>368</v>
      </c>
      <c r="F79" s="425" t="s">
        <v>368</v>
      </c>
      <c r="G79" s="425" t="s">
        <v>368</v>
      </c>
      <c r="H79" s="425" t="s">
        <v>368</v>
      </c>
      <c r="I79" s="425" t="s">
        <v>368</v>
      </c>
      <c r="J79" s="425" t="s">
        <v>368</v>
      </c>
      <c r="K79" s="425" t="s">
        <v>368</v>
      </c>
      <c r="L79" s="421" t="s">
        <v>249</v>
      </c>
      <c r="M79" s="421" t="s">
        <v>249</v>
      </c>
      <c r="N79" s="421" t="s">
        <v>249</v>
      </c>
      <c r="O79" s="421" t="s">
        <v>249</v>
      </c>
      <c r="P79" s="424"/>
      <c r="Q79" s="424" t="s">
        <v>368</v>
      </c>
      <c r="R79" s="424" t="s">
        <v>368</v>
      </c>
      <c r="S79" s="424" t="s">
        <v>368</v>
      </c>
      <c r="T79" s="424" t="s">
        <v>368</v>
      </c>
      <c r="U79" s="424" t="s">
        <v>368</v>
      </c>
      <c r="V79" s="424" t="s">
        <v>368</v>
      </c>
      <c r="W79" s="424" t="s">
        <v>368</v>
      </c>
      <c r="X79" s="424" t="s">
        <v>368</v>
      </c>
      <c r="Y79" s="424" t="s">
        <v>368</v>
      </c>
      <c r="Z79" s="424" t="s">
        <v>368</v>
      </c>
      <c r="AA79" s="424" t="s">
        <v>368</v>
      </c>
      <c r="AB79" s="424" t="s">
        <v>368</v>
      </c>
      <c r="AC79" s="426" t="s">
        <v>248</v>
      </c>
      <c r="AD79" s="424"/>
      <c r="AE79" s="427" t="s">
        <v>139</v>
      </c>
    </row>
    <row r="80" spans="1:31" s="328" customFormat="1" ht="110.25">
      <c r="A80" s="321" t="str">
        <f>1!A83</f>
        <v>1.4.2.30</v>
      </c>
      <c r="B80" s="433" t="str">
        <f>1!B83</f>
        <v>Строительство КЛ-0,4 кВ от РУ-0,4 кВ КТП-105 до РЩ МКЖД ул.Октябрьская,96 Б, г.Железноводск, L= 0,186 км (АВБбШВ 4х95)</v>
      </c>
      <c r="C80" s="516" t="str">
        <f>1!C83</f>
        <v>G_Gelezno_ТР30</v>
      </c>
      <c r="D80" s="424"/>
      <c r="E80" s="425" t="s">
        <v>368</v>
      </c>
      <c r="F80" s="425" t="s">
        <v>368</v>
      </c>
      <c r="G80" s="425" t="s">
        <v>368</v>
      </c>
      <c r="H80" s="425" t="s">
        <v>368</v>
      </c>
      <c r="I80" s="425" t="s">
        <v>368</v>
      </c>
      <c r="J80" s="425" t="s">
        <v>368</v>
      </c>
      <c r="K80" s="425" t="s">
        <v>368</v>
      </c>
      <c r="L80" s="421" t="s">
        <v>249</v>
      </c>
      <c r="M80" s="421" t="s">
        <v>249</v>
      </c>
      <c r="N80" s="421" t="s">
        <v>249</v>
      </c>
      <c r="O80" s="421" t="s">
        <v>249</v>
      </c>
      <c r="P80" s="424"/>
      <c r="Q80" s="424" t="s">
        <v>368</v>
      </c>
      <c r="R80" s="424" t="s">
        <v>368</v>
      </c>
      <c r="S80" s="424" t="s">
        <v>368</v>
      </c>
      <c r="T80" s="424" t="s">
        <v>368</v>
      </c>
      <c r="U80" s="424" t="s">
        <v>368</v>
      </c>
      <c r="V80" s="424" t="s">
        <v>368</v>
      </c>
      <c r="W80" s="424" t="s">
        <v>368</v>
      </c>
      <c r="X80" s="424" t="s">
        <v>368</v>
      </c>
      <c r="Y80" s="424" t="s">
        <v>368</v>
      </c>
      <c r="Z80" s="424" t="s">
        <v>368</v>
      </c>
      <c r="AA80" s="424" t="s">
        <v>368</v>
      </c>
      <c r="AB80" s="424" t="s">
        <v>368</v>
      </c>
      <c r="AC80" s="426" t="s">
        <v>248</v>
      </c>
      <c r="AD80" s="424"/>
      <c r="AE80" s="427" t="s">
        <v>139</v>
      </c>
    </row>
    <row r="81" spans="1:31" s="328" customFormat="1" ht="110.25">
      <c r="A81" s="321" t="str">
        <f>1!A84</f>
        <v>1.4.2.31</v>
      </c>
      <c r="B81" s="433" t="str">
        <f>1!B84</f>
        <v>Строительство КЛ-0,4 кВ от ВРУ-12 до ВРУ-2 в ЖК "Вишнёвый сад" (2-ая очередь), п.Иноземцево, L= 0,1 км (АВБбШВ 4х150)</v>
      </c>
      <c r="C81" s="516" t="str">
        <f>1!C84</f>
        <v>G_Gelezno_ТР31</v>
      </c>
      <c r="D81" s="424"/>
      <c r="E81" s="425" t="s">
        <v>368</v>
      </c>
      <c r="F81" s="425" t="s">
        <v>368</v>
      </c>
      <c r="G81" s="425" t="s">
        <v>368</v>
      </c>
      <c r="H81" s="425" t="s">
        <v>368</v>
      </c>
      <c r="I81" s="425" t="s">
        <v>368</v>
      </c>
      <c r="J81" s="425" t="s">
        <v>368</v>
      </c>
      <c r="K81" s="425" t="s">
        <v>368</v>
      </c>
      <c r="L81" s="421" t="s">
        <v>249</v>
      </c>
      <c r="M81" s="421" t="s">
        <v>249</v>
      </c>
      <c r="N81" s="421" t="s">
        <v>249</v>
      </c>
      <c r="O81" s="421" t="s">
        <v>249</v>
      </c>
      <c r="P81" s="424"/>
      <c r="Q81" s="424" t="s">
        <v>368</v>
      </c>
      <c r="R81" s="424" t="s">
        <v>368</v>
      </c>
      <c r="S81" s="424" t="s">
        <v>368</v>
      </c>
      <c r="T81" s="424" t="s">
        <v>368</v>
      </c>
      <c r="U81" s="424" t="s">
        <v>368</v>
      </c>
      <c r="V81" s="424" t="s">
        <v>368</v>
      </c>
      <c r="W81" s="424" t="s">
        <v>368</v>
      </c>
      <c r="X81" s="424" t="s">
        <v>368</v>
      </c>
      <c r="Y81" s="424" t="s">
        <v>368</v>
      </c>
      <c r="Z81" s="424" t="s">
        <v>368</v>
      </c>
      <c r="AA81" s="424" t="s">
        <v>368</v>
      </c>
      <c r="AB81" s="424" t="s">
        <v>368</v>
      </c>
      <c r="AC81" s="426" t="s">
        <v>248</v>
      </c>
      <c r="AD81" s="424"/>
      <c r="AE81" s="427" t="s">
        <v>139</v>
      </c>
    </row>
    <row r="82" spans="1:31" s="328" customFormat="1" ht="110.25">
      <c r="A82" s="321" t="str">
        <f>1!A85</f>
        <v>1.4.2.32</v>
      </c>
      <c r="B82" s="433" t="str">
        <f>1!B85</f>
        <v>Строительство КЛ-0,4кВ от ВРУ-16 до ВРУ-10 в ЖК"Вишнёвый сад" (2-ая очередь), п.Иноземцево, L= 0,035 км (АВБбШВ 4х95)</v>
      </c>
      <c r="C82" s="516" t="str">
        <f>1!C85</f>
        <v>G_Gelezno_ТР32</v>
      </c>
      <c r="D82" s="424"/>
      <c r="E82" s="425" t="s">
        <v>368</v>
      </c>
      <c r="F82" s="425" t="s">
        <v>368</v>
      </c>
      <c r="G82" s="425" t="s">
        <v>368</v>
      </c>
      <c r="H82" s="425" t="s">
        <v>368</v>
      </c>
      <c r="I82" s="425" t="s">
        <v>368</v>
      </c>
      <c r="J82" s="425" t="s">
        <v>368</v>
      </c>
      <c r="K82" s="425" t="s">
        <v>368</v>
      </c>
      <c r="L82" s="421" t="s">
        <v>249</v>
      </c>
      <c r="M82" s="421" t="s">
        <v>249</v>
      </c>
      <c r="N82" s="421" t="s">
        <v>249</v>
      </c>
      <c r="O82" s="421" t="s">
        <v>249</v>
      </c>
      <c r="P82" s="424"/>
      <c r="Q82" s="424" t="s">
        <v>368</v>
      </c>
      <c r="R82" s="424" t="s">
        <v>368</v>
      </c>
      <c r="S82" s="424" t="s">
        <v>368</v>
      </c>
      <c r="T82" s="424" t="s">
        <v>368</v>
      </c>
      <c r="U82" s="424" t="s">
        <v>368</v>
      </c>
      <c r="V82" s="424" t="s">
        <v>368</v>
      </c>
      <c r="W82" s="424" t="s">
        <v>368</v>
      </c>
      <c r="X82" s="424" t="s">
        <v>368</v>
      </c>
      <c r="Y82" s="424" t="s">
        <v>368</v>
      </c>
      <c r="Z82" s="424" t="s">
        <v>368</v>
      </c>
      <c r="AA82" s="424" t="s">
        <v>368</v>
      </c>
      <c r="AB82" s="424" t="s">
        <v>368</v>
      </c>
      <c r="AC82" s="426" t="s">
        <v>248</v>
      </c>
      <c r="AD82" s="424"/>
      <c r="AE82" s="427" t="s">
        <v>139</v>
      </c>
    </row>
    <row r="83" spans="1:31" s="328" customFormat="1" ht="110.25">
      <c r="A83" s="321" t="str">
        <f>1!A86</f>
        <v>1.4.2.33</v>
      </c>
      <c r="B83" s="433" t="str">
        <f>1!B86</f>
        <v>Строительство КЛ-0,4 кВ от опоры ВЛ-0,4 кВ № 21 до ВРУ-1 в ЖК "Вишнёвый сад" (2-ая очередь), п.Иноземцево, L= 0,05 км (АВБбШВ 4х120)</v>
      </c>
      <c r="C83" s="516" t="str">
        <f>1!C86</f>
        <v>G_Gelezno_ТР33</v>
      </c>
      <c r="D83" s="424"/>
      <c r="E83" s="425" t="s">
        <v>368</v>
      </c>
      <c r="F83" s="425" t="s">
        <v>368</v>
      </c>
      <c r="G83" s="425" t="s">
        <v>368</v>
      </c>
      <c r="H83" s="425" t="s">
        <v>368</v>
      </c>
      <c r="I83" s="425" t="s">
        <v>368</v>
      </c>
      <c r="J83" s="425" t="s">
        <v>368</v>
      </c>
      <c r="K83" s="425" t="s">
        <v>368</v>
      </c>
      <c r="L83" s="421" t="s">
        <v>249</v>
      </c>
      <c r="M83" s="421" t="s">
        <v>249</v>
      </c>
      <c r="N83" s="421" t="s">
        <v>249</v>
      </c>
      <c r="O83" s="421" t="s">
        <v>249</v>
      </c>
      <c r="P83" s="424"/>
      <c r="Q83" s="424" t="s">
        <v>368</v>
      </c>
      <c r="R83" s="424" t="s">
        <v>368</v>
      </c>
      <c r="S83" s="424" t="s">
        <v>368</v>
      </c>
      <c r="T83" s="424" t="s">
        <v>368</v>
      </c>
      <c r="U83" s="424" t="s">
        <v>368</v>
      </c>
      <c r="V83" s="424" t="s">
        <v>368</v>
      </c>
      <c r="W83" s="424" t="s">
        <v>368</v>
      </c>
      <c r="X83" s="424" t="s">
        <v>368</v>
      </c>
      <c r="Y83" s="424" t="s">
        <v>368</v>
      </c>
      <c r="Z83" s="424" t="s">
        <v>368</v>
      </c>
      <c r="AA83" s="424" t="s">
        <v>368</v>
      </c>
      <c r="AB83" s="424" t="s">
        <v>368</v>
      </c>
      <c r="AC83" s="426" t="s">
        <v>248</v>
      </c>
      <c r="AD83" s="424"/>
      <c r="AE83" s="427" t="s">
        <v>139</v>
      </c>
    </row>
    <row r="84" spans="1:31" s="328" customFormat="1" ht="110.25">
      <c r="A84" s="321" t="str">
        <f>1!A87</f>
        <v>1.4.2.34</v>
      </c>
      <c r="B84" s="433" t="str">
        <f>1!B87</f>
        <v>Строительство КЛ-0,4 кВ от РУ-0,4 кВ 2КТП-244 до ВРУ-12 в ЖК "Вишнёвый сад" (2-ая очередь), п.Иноземцево, L= 0,17 км (АВБбШВ 4х185) км</v>
      </c>
      <c r="C84" s="516" t="str">
        <f>1!C87</f>
        <v>G_Gelezno_ТР34</v>
      </c>
      <c r="D84" s="424"/>
      <c r="E84" s="425" t="s">
        <v>368</v>
      </c>
      <c r="F84" s="425" t="s">
        <v>368</v>
      </c>
      <c r="G84" s="425" t="s">
        <v>368</v>
      </c>
      <c r="H84" s="425" t="s">
        <v>368</v>
      </c>
      <c r="I84" s="425" t="s">
        <v>368</v>
      </c>
      <c r="J84" s="425" t="s">
        <v>368</v>
      </c>
      <c r="K84" s="425" t="s">
        <v>368</v>
      </c>
      <c r="L84" s="421" t="s">
        <v>249</v>
      </c>
      <c r="M84" s="421" t="s">
        <v>249</v>
      </c>
      <c r="N84" s="421" t="s">
        <v>249</v>
      </c>
      <c r="O84" s="421" t="s">
        <v>249</v>
      </c>
      <c r="P84" s="424"/>
      <c r="Q84" s="424" t="s">
        <v>368</v>
      </c>
      <c r="R84" s="424" t="s">
        <v>368</v>
      </c>
      <c r="S84" s="424" t="s">
        <v>368</v>
      </c>
      <c r="T84" s="424" t="s">
        <v>368</v>
      </c>
      <c r="U84" s="424" t="s">
        <v>368</v>
      </c>
      <c r="V84" s="424" t="s">
        <v>368</v>
      </c>
      <c r="W84" s="424" t="s">
        <v>368</v>
      </c>
      <c r="X84" s="424" t="s">
        <v>368</v>
      </c>
      <c r="Y84" s="424" t="s">
        <v>368</v>
      </c>
      <c r="Z84" s="424" t="s">
        <v>368</v>
      </c>
      <c r="AA84" s="424" t="s">
        <v>368</v>
      </c>
      <c r="AB84" s="424" t="s">
        <v>368</v>
      </c>
      <c r="AC84" s="426" t="s">
        <v>248</v>
      </c>
      <c r="AD84" s="424"/>
      <c r="AE84" s="427" t="s">
        <v>139</v>
      </c>
    </row>
    <row r="85" spans="1:31" s="328" customFormat="1" ht="110.25">
      <c r="A85" s="321" t="str">
        <f>1!A88</f>
        <v>1.4.2.35</v>
      </c>
      <c r="B85" s="433" t="str">
        <f>1!B88</f>
        <v>Строительство КЛ-0,4 кВ от РУ-0,4 кВ 2КТП-244 до ВРУ-15 в ЖК "Вишнёвый сад" (2-ая очередь), п.Иноземцево, L= 0,08 км (АВБбШВ 4х95)</v>
      </c>
      <c r="C85" s="516" t="str">
        <f>1!C88</f>
        <v>G_Gelezno_ТР35</v>
      </c>
      <c r="D85" s="424"/>
      <c r="E85" s="425" t="s">
        <v>368</v>
      </c>
      <c r="F85" s="425" t="s">
        <v>368</v>
      </c>
      <c r="G85" s="425" t="s">
        <v>368</v>
      </c>
      <c r="H85" s="425" t="s">
        <v>368</v>
      </c>
      <c r="I85" s="425" t="s">
        <v>368</v>
      </c>
      <c r="J85" s="425" t="s">
        <v>368</v>
      </c>
      <c r="K85" s="425" t="s">
        <v>368</v>
      </c>
      <c r="L85" s="421" t="s">
        <v>249</v>
      </c>
      <c r="M85" s="421" t="s">
        <v>249</v>
      </c>
      <c r="N85" s="421" t="s">
        <v>249</v>
      </c>
      <c r="O85" s="421" t="s">
        <v>249</v>
      </c>
      <c r="P85" s="424"/>
      <c r="Q85" s="424" t="s">
        <v>368</v>
      </c>
      <c r="R85" s="424" t="s">
        <v>368</v>
      </c>
      <c r="S85" s="424" t="s">
        <v>368</v>
      </c>
      <c r="T85" s="424" t="s">
        <v>368</v>
      </c>
      <c r="U85" s="424" t="s">
        <v>368</v>
      </c>
      <c r="V85" s="424" t="s">
        <v>368</v>
      </c>
      <c r="W85" s="424" t="s">
        <v>368</v>
      </c>
      <c r="X85" s="424" t="s">
        <v>368</v>
      </c>
      <c r="Y85" s="424" t="s">
        <v>368</v>
      </c>
      <c r="Z85" s="424" t="s">
        <v>368</v>
      </c>
      <c r="AA85" s="424" t="s">
        <v>368</v>
      </c>
      <c r="AB85" s="424" t="s">
        <v>368</v>
      </c>
      <c r="AC85" s="426" t="s">
        <v>248</v>
      </c>
      <c r="AD85" s="424"/>
      <c r="AE85" s="427" t="s">
        <v>139</v>
      </c>
    </row>
    <row r="86" spans="1:31" s="328" customFormat="1" ht="110.25">
      <c r="A86" s="321" t="str">
        <f>1!A89</f>
        <v>1.4.2.36</v>
      </c>
      <c r="B86" s="433" t="str">
        <f>1!B89</f>
        <v>Строительство ВЛ-0,4 кВ от РУ-0,4 кВ КТП-241 ЖК "Вишнёвый сад" (2-ая очередь), п.Иноземцево, СИП-2 3х150+1х95 - 0,204 км СИП-2 3х120+1х95 - 0,275 км и СИП-2 3х95+1х70 - 0,408 км</v>
      </c>
      <c r="C86" s="516" t="str">
        <f>1!C89</f>
        <v>G_Gelezno_ТР36</v>
      </c>
      <c r="D86" s="424"/>
      <c r="E86" s="425" t="s">
        <v>368</v>
      </c>
      <c r="F86" s="425" t="s">
        <v>368</v>
      </c>
      <c r="G86" s="425" t="s">
        <v>368</v>
      </c>
      <c r="H86" s="425" t="s">
        <v>368</v>
      </c>
      <c r="I86" s="425" t="s">
        <v>368</v>
      </c>
      <c r="J86" s="425" t="s">
        <v>368</v>
      </c>
      <c r="K86" s="425" t="s">
        <v>368</v>
      </c>
      <c r="L86" s="421" t="s">
        <v>249</v>
      </c>
      <c r="M86" s="421" t="s">
        <v>249</v>
      </c>
      <c r="N86" s="421" t="s">
        <v>249</v>
      </c>
      <c r="O86" s="421" t="s">
        <v>249</v>
      </c>
      <c r="P86" s="424"/>
      <c r="Q86" s="424" t="s">
        <v>368</v>
      </c>
      <c r="R86" s="424" t="s">
        <v>368</v>
      </c>
      <c r="S86" s="424" t="s">
        <v>368</v>
      </c>
      <c r="T86" s="424" t="s">
        <v>368</v>
      </c>
      <c r="U86" s="424" t="s">
        <v>368</v>
      </c>
      <c r="V86" s="424" t="s">
        <v>368</v>
      </c>
      <c r="W86" s="424" t="s">
        <v>368</v>
      </c>
      <c r="X86" s="424" t="s">
        <v>368</v>
      </c>
      <c r="Y86" s="424" t="s">
        <v>368</v>
      </c>
      <c r="Z86" s="424" t="s">
        <v>368</v>
      </c>
      <c r="AA86" s="424" t="s">
        <v>368</v>
      </c>
      <c r="AB86" s="424" t="s">
        <v>368</v>
      </c>
      <c r="AC86" s="426" t="s">
        <v>248</v>
      </c>
      <c r="AD86" s="424"/>
      <c r="AE86" s="427" t="s">
        <v>139</v>
      </c>
    </row>
    <row r="87" spans="1:31" s="328" customFormat="1" ht="110.25">
      <c r="A87" s="321" t="str">
        <f>1!A90</f>
        <v>1.4.2.37</v>
      </c>
      <c r="B87" s="433" t="str">
        <f>1!B90</f>
        <v>Строительство КТП-249 пер.Промышленный,24, п.Иноземцево (ТМГ-630 кВА)(Линия 2), L=0,143 км</v>
      </c>
      <c r="C87" s="516" t="str">
        <f>1!C90</f>
        <v>G_Gelezno_ТР37</v>
      </c>
      <c r="D87" s="424"/>
      <c r="E87" s="425" t="s">
        <v>368</v>
      </c>
      <c r="F87" s="425" t="s">
        <v>368</v>
      </c>
      <c r="G87" s="425" t="s">
        <v>368</v>
      </c>
      <c r="H87" s="425" t="s">
        <v>368</v>
      </c>
      <c r="I87" s="425" t="s">
        <v>368</v>
      </c>
      <c r="J87" s="425" t="s">
        <v>368</v>
      </c>
      <c r="K87" s="425" t="s">
        <v>368</v>
      </c>
      <c r="L87" s="421" t="s">
        <v>249</v>
      </c>
      <c r="M87" s="421" t="s">
        <v>249</v>
      </c>
      <c r="N87" s="421" t="s">
        <v>249</v>
      </c>
      <c r="O87" s="421" t="s">
        <v>249</v>
      </c>
      <c r="P87" s="424"/>
      <c r="Q87" s="424" t="s">
        <v>368</v>
      </c>
      <c r="R87" s="424" t="s">
        <v>368</v>
      </c>
      <c r="S87" s="424" t="s">
        <v>368</v>
      </c>
      <c r="T87" s="424" t="s">
        <v>368</v>
      </c>
      <c r="U87" s="424" t="s">
        <v>368</v>
      </c>
      <c r="V87" s="424" t="s">
        <v>368</v>
      </c>
      <c r="W87" s="424" t="s">
        <v>368</v>
      </c>
      <c r="X87" s="424" t="s">
        <v>368</v>
      </c>
      <c r="Y87" s="424" t="s">
        <v>368</v>
      </c>
      <c r="Z87" s="424" t="s">
        <v>368</v>
      </c>
      <c r="AA87" s="424" t="s">
        <v>368</v>
      </c>
      <c r="AB87" s="424" t="s">
        <v>368</v>
      </c>
      <c r="AC87" s="426" t="s">
        <v>248</v>
      </c>
      <c r="AD87" s="424"/>
      <c r="AE87" s="427" t="s">
        <v>139</v>
      </c>
    </row>
    <row r="88" spans="1:31" s="329" customFormat="1" ht="9" customHeight="1" thickBot="1">
      <c r="A88" s="358"/>
      <c r="B88" s="359"/>
      <c r="C88" s="360"/>
      <c r="D88" s="361"/>
      <c r="E88" s="362"/>
      <c r="F88" s="362"/>
      <c r="G88" s="362"/>
      <c r="H88" s="362"/>
      <c r="I88" s="362"/>
      <c r="J88" s="362"/>
      <c r="K88" s="362"/>
      <c r="L88" s="363"/>
      <c r="M88" s="363"/>
      <c r="N88" s="363"/>
      <c r="O88" s="363"/>
      <c r="P88" s="361"/>
      <c r="Q88" s="361"/>
      <c r="R88" s="361"/>
      <c r="S88" s="361"/>
      <c r="T88" s="361"/>
      <c r="U88" s="361"/>
      <c r="V88" s="361"/>
      <c r="W88" s="361"/>
      <c r="X88" s="361"/>
      <c r="Y88" s="361"/>
      <c r="Z88" s="361"/>
      <c r="AA88" s="361"/>
      <c r="AB88" s="361"/>
      <c r="AC88" s="364"/>
      <c r="AD88" s="361"/>
      <c r="AE88" s="365"/>
    </row>
    <row r="89" spans="1:31" s="329" customFormat="1" ht="9" customHeight="1">
      <c r="A89" s="296"/>
      <c r="B89" s="297"/>
      <c r="C89" s="529"/>
      <c r="D89" s="298"/>
      <c r="E89" s="299"/>
      <c r="F89" s="299"/>
      <c r="G89" s="299"/>
      <c r="H89" s="299"/>
      <c r="I89" s="299"/>
      <c r="J89" s="299"/>
      <c r="K89" s="299"/>
      <c r="L89" s="300"/>
      <c r="M89" s="300"/>
      <c r="N89" s="300"/>
      <c r="O89" s="300"/>
      <c r="P89" s="298"/>
      <c r="Q89" s="298"/>
      <c r="R89" s="298"/>
      <c r="S89" s="298"/>
      <c r="T89" s="298"/>
      <c r="U89" s="298"/>
      <c r="V89" s="298"/>
      <c r="W89" s="298"/>
      <c r="X89" s="298"/>
      <c r="Y89" s="298"/>
      <c r="Z89" s="298"/>
      <c r="AA89" s="298"/>
      <c r="AB89" s="298"/>
      <c r="AC89" s="301"/>
      <c r="AD89" s="298"/>
      <c r="AE89" s="298"/>
    </row>
    <row r="90" spans="1:31" s="329" customFormat="1" ht="15.75">
      <c r="A90" s="296"/>
      <c r="B90" s="297"/>
      <c r="C90" s="529"/>
      <c r="D90" s="298"/>
      <c r="E90" s="299"/>
      <c r="F90" s="299"/>
      <c r="G90" s="299"/>
      <c r="H90" s="299"/>
      <c r="I90" s="299"/>
      <c r="J90" s="299"/>
      <c r="K90" s="299"/>
      <c r="L90" s="300"/>
      <c r="M90" s="300"/>
      <c r="N90" s="300"/>
      <c r="O90" s="300"/>
      <c r="P90" s="298"/>
      <c r="Q90" s="298"/>
      <c r="R90" s="298"/>
      <c r="S90" s="298"/>
      <c r="T90" s="298"/>
      <c r="U90" s="298"/>
      <c r="V90" s="298"/>
      <c r="W90" s="298"/>
      <c r="X90" s="298"/>
      <c r="Y90" s="298"/>
      <c r="Z90" s="298"/>
      <c r="AA90" s="298"/>
      <c r="AB90" s="298"/>
      <c r="AC90" s="301"/>
      <c r="AD90" s="298"/>
      <c r="AE90" s="298"/>
    </row>
    <row r="91" spans="1:31" s="329" customFormat="1" ht="15.75">
      <c r="A91" s="296"/>
      <c r="B91" s="297"/>
      <c r="C91" s="529"/>
      <c r="D91" s="298"/>
      <c r="E91" s="299"/>
      <c r="F91" s="299"/>
      <c r="G91" s="299"/>
      <c r="H91" s="299"/>
      <c r="I91" s="299"/>
      <c r="J91" s="299"/>
      <c r="K91" s="299"/>
      <c r="L91" s="300"/>
      <c r="M91" s="300"/>
      <c r="N91" s="300"/>
      <c r="O91" s="300"/>
      <c r="P91" s="298"/>
      <c r="Q91" s="298"/>
      <c r="R91" s="298"/>
      <c r="S91" s="298"/>
      <c r="T91" s="298"/>
      <c r="U91" s="298"/>
      <c r="V91" s="298"/>
      <c r="W91" s="298"/>
      <c r="X91" s="298"/>
      <c r="Y91" s="298"/>
      <c r="Z91" s="298"/>
      <c r="AA91" s="298"/>
      <c r="AB91" s="298"/>
      <c r="AC91" s="301"/>
      <c r="AD91" s="298"/>
      <c r="AE91" s="298"/>
    </row>
    <row r="92" spans="1:31" s="329" customFormat="1" ht="15.75">
      <c r="A92" s="296"/>
      <c r="B92" s="297"/>
      <c r="C92" s="529"/>
      <c r="D92" s="298"/>
      <c r="E92" s="299"/>
      <c r="F92" s="299"/>
      <c r="G92" s="299"/>
      <c r="H92" s="299"/>
      <c r="I92" s="299"/>
      <c r="J92" s="299"/>
      <c r="K92" s="299"/>
      <c r="L92" s="300"/>
      <c r="M92" s="300"/>
      <c r="N92" s="300"/>
      <c r="O92" s="300"/>
      <c r="P92" s="298"/>
      <c r="Q92" s="298"/>
      <c r="R92" s="298"/>
      <c r="S92" s="298"/>
      <c r="T92" s="298"/>
      <c r="U92" s="298"/>
      <c r="V92" s="298"/>
      <c r="W92" s="298"/>
      <c r="X92" s="298"/>
      <c r="Y92" s="298"/>
      <c r="Z92" s="298"/>
      <c r="AA92" s="298"/>
      <c r="AB92" s="298"/>
      <c r="AC92" s="301"/>
      <c r="AD92" s="298"/>
      <c r="AE92" s="298"/>
    </row>
    <row r="93" spans="1:31" s="35" customFormat="1" ht="27" customHeight="1">
      <c r="A93" s="296"/>
      <c r="B93" s="297"/>
      <c r="C93" s="296"/>
      <c r="D93" s="298"/>
      <c r="E93" s="299"/>
      <c r="F93" s="299"/>
      <c r="G93" s="299"/>
      <c r="H93" s="299"/>
      <c r="I93" s="299"/>
      <c r="J93" s="299"/>
      <c r="K93" s="299"/>
      <c r="L93" s="300"/>
      <c r="M93" s="300"/>
      <c r="N93" s="300"/>
      <c r="O93" s="300"/>
      <c r="P93" s="298"/>
      <c r="Q93" s="298"/>
      <c r="R93" s="298"/>
      <c r="S93" s="298"/>
      <c r="T93" s="298"/>
      <c r="U93" s="298"/>
      <c r="V93" s="298"/>
      <c r="W93" s="298"/>
      <c r="X93" s="298"/>
      <c r="Y93" s="298"/>
      <c r="Z93" s="298"/>
      <c r="AA93" s="298"/>
      <c r="AB93" s="298"/>
      <c r="AC93" s="301"/>
      <c r="AD93" s="298"/>
      <c r="AE93" s="298"/>
    </row>
    <row r="94" spans="1:31" s="35" customFormat="1" ht="27" customHeight="1">
      <c r="A94" s="296"/>
      <c r="B94" s="297"/>
      <c r="C94" s="296"/>
      <c r="D94" s="298"/>
      <c r="E94" s="299"/>
      <c r="F94" s="299"/>
      <c r="G94" s="299"/>
      <c r="H94" s="299"/>
      <c r="I94" s="299"/>
      <c r="J94" s="299"/>
      <c r="K94" s="299"/>
      <c r="L94" s="300"/>
      <c r="M94" s="300"/>
      <c r="N94" s="300"/>
      <c r="O94" s="300"/>
      <c r="P94" s="298"/>
      <c r="Q94" s="298"/>
      <c r="R94" s="298"/>
      <c r="S94" s="298"/>
      <c r="T94" s="298"/>
      <c r="U94" s="298"/>
      <c r="V94" s="298"/>
      <c r="W94" s="298"/>
      <c r="X94" s="298"/>
      <c r="Y94" s="298"/>
      <c r="Z94" s="298"/>
      <c r="AA94" s="298"/>
      <c r="AB94" s="298"/>
      <c r="AC94" s="301"/>
      <c r="AD94" s="298"/>
      <c r="AE94" s="298"/>
    </row>
    <row r="95" spans="1:31" s="35" customFormat="1" ht="27" customHeight="1">
      <c r="A95" s="296"/>
      <c r="B95" s="603" t="s">
        <v>595</v>
      </c>
      <c r="C95" s="603"/>
      <c r="D95" s="603"/>
      <c r="E95" s="603"/>
      <c r="F95" s="603"/>
      <c r="G95" s="603"/>
      <c r="H95" s="603"/>
      <c r="I95" s="603"/>
      <c r="J95" s="603"/>
      <c r="K95" s="603"/>
      <c r="L95" s="603"/>
      <c r="M95" s="603"/>
      <c r="N95" s="603"/>
      <c r="O95" s="603"/>
      <c r="P95" s="603"/>
      <c r="Q95" s="603"/>
      <c r="R95" s="603"/>
      <c r="S95" s="603"/>
      <c r="T95" s="603"/>
      <c r="U95" s="603"/>
      <c r="V95" s="603"/>
      <c r="W95" s="298"/>
      <c r="X95" s="298"/>
      <c r="Y95" s="298"/>
      <c r="Z95" s="298"/>
      <c r="AA95" s="298"/>
      <c r="AB95" s="298"/>
      <c r="AC95" s="301"/>
      <c r="AD95" s="298"/>
      <c r="AE95" s="298"/>
    </row>
    <row r="96" spans="1:31" s="35" customFormat="1" ht="15.75">
      <c r="A96" s="296"/>
      <c r="B96" s="302"/>
      <c r="C96" s="296"/>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row>
  </sheetData>
  <sheetProtection/>
  <mergeCells count="33">
    <mergeCell ref="A11:N11"/>
    <mergeCell ref="A16:AC16"/>
    <mergeCell ref="AA17:AB18"/>
    <mergeCell ref="O17:O19"/>
    <mergeCell ref="Y18:Z18"/>
    <mergeCell ref="U17:Z17"/>
    <mergeCell ref="L17:M18"/>
    <mergeCell ref="N17:N19"/>
    <mergeCell ref="A17:A19"/>
    <mergeCell ref="B17:B19"/>
    <mergeCell ref="A13:N13"/>
    <mergeCell ref="A14:N14"/>
    <mergeCell ref="A15:N15"/>
    <mergeCell ref="A12:N12"/>
    <mergeCell ref="F17:F19"/>
    <mergeCell ref="G17:G19"/>
    <mergeCell ref="P17:P19"/>
    <mergeCell ref="Q17:R18"/>
    <mergeCell ref="H18:H19"/>
    <mergeCell ref="I18:I19"/>
    <mergeCell ref="C17:C19"/>
    <mergeCell ref="E17:E19"/>
    <mergeCell ref="D17:D19"/>
    <mergeCell ref="B95:V95"/>
    <mergeCell ref="AD17:AE18"/>
    <mergeCell ref="AC17:AC19"/>
    <mergeCell ref="W18:X18"/>
    <mergeCell ref="S17:S19"/>
    <mergeCell ref="U18:V18"/>
    <mergeCell ref="H17:K17"/>
    <mergeCell ref="K18:K19"/>
    <mergeCell ref="J18:J19"/>
    <mergeCell ref="T17:T19"/>
  </mergeCells>
  <printOptions/>
  <pageMargins left="0.1968503937007874" right="0.1968503937007874" top="0.3937007874015748" bottom="0.3937007874015748" header="0.11811023622047245" footer="0.11811023622047245"/>
  <pageSetup fitToWidth="2" horizontalDpi="600" verticalDpi="600" orientation="portrait" paperSize="8" scale="60"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sheetPr>
    <tabColor rgb="FF92D050"/>
  </sheetPr>
  <dimension ref="A1:AE95"/>
  <sheetViews>
    <sheetView view="pageBreakPreview" zoomScale="85" zoomScaleSheetLayoutView="85" zoomScalePageLayoutView="0" workbookViewId="0" topLeftCell="A16">
      <selection activeCell="B94" sqref="B94"/>
    </sheetView>
  </sheetViews>
  <sheetFormatPr defaultColWidth="16.875" defaultRowHeight="15.75"/>
  <cols>
    <col min="1" max="1" width="7.00390625" style="7" customWidth="1"/>
    <col min="2" max="2" width="82.125" style="8" customWidth="1"/>
    <col min="3" max="3" width="14.00390625" style="8" customWidth="1"/>
    <col min="4" max="4" width="20.125" style="8" customWidth="1"/>
    <col min="5" max="5" width="17.875" style="8" customWidth="1"/>
    <col min="6" max="6" width="31.125" style="8" customWidth="1"/>
    <col min="7" max="7" width="29.125" style="8" customWidth="1"/>
    <col min="8" max="8" width="32.00390625" style="8" customWidth="1"/>
    <col min="9" max="9" width="32.375" style="8" customWidth="1"/>
    <col min="10" max="10" width="21.125" style="10" customWidth="1"/>
    <col min="11" max="11" width="23.875" style="10" customWidth="1"/>
    <col min="12" max="12" width="6.625" style="8" customWidth="1"/>
    <col min="13" max="13" width="8.125" style="8" customWidth="1"/>
    <col min="14" max="14" width="12.125" style="8" customWidth="1"/>
    <col min="15" max="243" width="9.00390625" style="7" customWidth="1"/>
    <col min="244" max="244" width="3.875" style="7" bestFit="1" customWidth="1"/>
    <col min="245" max="245" width="16.00390625" style="7" bestFit="1" customWidth="1"/>
    <col min="246" max="246" width="16.625" style="7" bestFit="1" customWidth="1"/>
    <col min="247" max="247" width="13.50390625" style="7" bestFit="1" customWidth="1"/>
    <col min="248" max="249" width="10.875" style="7" bestFit="1" customWidth="1"/>
    <col min="250" max="250" width="6.25390625" style="7" bestFit="1" customWidth="1"/>
    <col min="251" max="251" width="8.875" style="7" bestFit="1" customWidth="1"/>
    <col min="252" max="252" width="13.875" style="7" bestFit="1" customWidth="1"/>
    <col min="253" max="253" width="13.25390625" style="7" bestFit="1" customWidth="1"/>
    <col min="254" max="254" width="16.00390625" style="7" bestFit="1" customWidth="1"/>
    <col min="255" max="255" width="11.625" style="7" bestFit="1" customWidth="1"/>
    <col min="256" max="16384" width="16.875" style="7" customWidth="1"/>
  </cols>
  <sheetData>
    <row r="1" ht="15.75">
      <c r="K1" s="250" t="s">
        <v>149</v>
      </c>
    </row>
    <row r="2" ht="15.75">
      <c r="K2" s="251" t="s">
        <v>423</v>
      </c>
    </row>
    <row r="3" ht="15.75">
      <c r="K3" s="251" t="s">
        <v>589</v>
      </c>
    </row>
    <row r="4" ht="18.75">
      <c r="K4" s="16"/>
    </row>
    <row r="5" ht="15.75">
      <c r="K5" s="251" t="s">
        <v>591</v>
      </c>
    </row>
    <row r="6" ht="15.75">
      <c r="K6" s="251" t="s">
        <v>592</v>
      </c>
    </row>
    <row r="7" ht="15.75">
      <c r="K7" s="251"/>
    </row>
    <row r="8" ht="15.75">
      <c r="K8" s="251" t="s">
        <v>597</v>
      </c>
    </row>
    <row r="9" ht="15.75">
      <c r="K9" s="251"/>
    </row>
    <row r="10" spans="10:11" ht="15.75">
      <c r="J10" s="10" t="s">
        <v>593</v>
      </c>
      <c r="K10" s="251" t="s">
        <v>771</v>
      </c>
    </row>
    <row r="11" ht="15.75">
      <c r="K11" s="251"/>
    </row>
    <row r="12" spans="1:11" ht="16.5">
      <c r="A12" s="670" t="s">
        <v>237</v>
      </c>
      <c r="B12" s="670"/>
      <c r="C12" s="670"/>
      <c r="D12" s="670"/>
      <c r="E12" s="670"/>
      <c r="F12" s="670"/>
      <c r="G12" s="670"/>
      <c r="H12" s="670"/>
      <c r="I12" s="670"/>
      <c r="J12" s="670"/>
      <c r="K12" s="670"/>
    </row>
    <row r="13" spans="1:31" ht="15.75">
      <c r="A13" s="663" t="str">
        <f>1!A14:U14</f>
        <v>Инвестиционная программа Филиала "Железноводские электрические сети" ООО "КЭУК".</v>
      </c>
      <c r="B13" s="663"/>
      <c r="C13" s="663"/>
      <c r="D13" s="663"/>
      <c r="E13" s="663"/>
      <c r="F13" s="663"/>
      <c r="G13" s="663"/>
      <c r="H13" s="663"/>
      <c r="I13" s="663"/>
      <c r="J13" s="663"/>
      <c r="K13" s="663"/>
      <c r="L13" s="82"/>
      <c r="M13" s="82"/>
      <c r="N13" s="82"/>
      <c r="O13" s="82"/>
      <c r="P13" s="82"/>
      <c r="Q13" s="82"/>
      <c r="R13" s="82"/>
      <c r="S13" s="82"/>
      <c r="T13" s="82"/>
      <c r="U13" s="82"/>
      <c r="V13" s="82"/>
      <c r="W13" s="82"/>
      <c r="X13" s="82"/>
      <c r="Y13" s="82"/>
      <c r="Z13" s="82"/>
      <c r="AA13" s="82"/>
      <c r="AB13" s="82"/>
      <c r="AC13" s="82"/>
      <c r="AD13" s="82"/>
      <c r="AE13" s="82"/>
    </row>
    <row r="14" spans="1:31" ht="15.75">
      <c r="A14" s="542" t="s">
        <v>126</v>
      </c>
      <c r="B14" s="542"/>
      <c r="C14" s="542"/>
      <c r="D14" s="542"/>
      <c r="E14" s="542"/>
      <c r="F14" s="542"/>
      <c r="G14" s="542"/>
      <c r="H14" s="542"/>
      <c r="I14" s="542"/>
      <c r="J14" s="542"/>
      <c r="K14" s="542"/>
      <c r="L14" s="76"/>
      <c r="M14" s="76"/>
      <c r="N14" s="76"/>
      <c r="O14" s="76"/>
      <c r="P14" s="76"/>
      <c r="Q14" s="76"/>
      <c r="R14" s="76"/>
      <c r="S14" s="76"/>
      <c r="T14" s="76"/>
      <c r="U14" s="76"/>
      <c r="V14" s="76"/>
      <c r="W14" s="76"/>
      <c r="X14" s="76"/>
      <c r="Y14" s="76"/>
      <c r="Z14" s="76"/>
      <c r="AA14" s="76"/>
      <c r="AB14" s="76"/>
      <c r="AC14" s="76"/>
      <c r="AD14" s="76"/>
      <c r="AE14" s="76"/>
    </row>
    <row r="15" spans="2:31" ht="16.5">
      <c r="B15" s="7"/>
      <c r="C15" s="7"/>
      <c r="D15" s="7"/>
      <c r="E15" s="7"/>
      <c r="F15" s="7"/>
      <c r="G15" s="7"/>
      <c r="H15" s="7"/>
      <c r="I15" s="7"/>
      <c r="J15" s="7"/>
      <c r="K15" s="7"/>
      <c r="L15" s="12"/>
      <c r="M15" s="12"/>
      <c r="N15" s="12"/>
      <c r="O15" s="12"/>
      <c r="P15" s="12"/>
      <c r="Q15" s="12"/>
      <c r="R15" s="12"/>
      <c r="S15" s="12"/>
      <c r="T15" s="12"/>
      <c r="U15" s="12"/>
      <c r="V15" s="12"/>
      <c r="W15" s="12"/>
      <c r="X15" s="12"/>
      <c r="Y15" s="12"/>
      <c r="Z15" s="12"/>
      <c r="AA15" s="12"/>
      <c r="AB15" s="12"/>
      <c r="AC15" s="12"/>
      <c r="AD15" s="12"/>
      <c r="AE15" s="12"/>
    </row>
    <row r="16" spans="1:13" ht="15.75">
      <c r="A16" s="561" t="str">
        <f>1!A17:U17</f>
        <v>Год раскрытия информации: 2018 год</v>
      </c>
      <c r="B16" s="561"/>
      <c r="C16" s="561"/>
      <c r="D16" s="561"/>
      <c r="E16" s="561"/>
      <c r="F16" s="561"/>
      <c r="G16" s="561"/>
      <c r="H16" s="561"/>
      <c r="I16" s="561"/>
      <c r="J16" s="561"/>
      <c r="K16" s="561"/>
      <c r="L16" s="9"/>
      <c r="M16" s="9"/>
    </row>
    <row r="17" spans="1:13" ht="15.75" thickBot="1">
      <c r="A17" s="18"/>
      <c r="B17" s="11"/>
      <c r="C17" s="11"/>
      <c r="D17" s="11"/>
      <c r="E17" s="11"/>
      <c r="F17" s="11"/>
      <c r="G17" s="11"/>
      <c r="H17" s="11"/>
      <c r="I17" s="11"/>
      <c r="L17" s="9"/>
      <c r="M17" s="9"/>
    </row>
    <row r="18" spans="1:24" s="10" customFormat="1" ht="58.5" customHeight="1">
      <c r="A18" s="739" t="s">
        <v>604</v>
      </c>
      <c r="B18" s="715" t="s">
        <v>452</v>
      </c>
      <c r="C18" s="715" t="s">
        <v>113</v>
      </c>
      <c r="D18" s="715" t="s">
        <v>185</v>
      </c>
      <c r="E18" s="730" t="s">
        <v>186</v>
      </c>
      <c r="F18" s="737" t="s">
        <v>410</v>
      </c>
      <c r="G18" s="731" t="s">
        <v>245</v>
      </c>
      <c r="H18" s="731"/>
      <c r="I18" s="715" t="s">
        <v>508</v>
      </c>
      <c r="J18" s="735" t="s">
        <v>511</v>
      </c>
      <c r="K18" s="736"/>
      <c r="L18" s="8"/>
      <c r="M18" s="8"/>
      <c r="N18" s="8"/>
      <c r="O18" s="7"/>
      <c r="P18" s="7"/>
      <c r="Q18" s="7"/>
      <c r="R18" s="7"/>
      <c r="S18" s="7"/>
      <c r="T18" s="7"/>
      <c r="U18" s="7"/>
      <c r="V18" s="7"/>
      <c r="W18" s="7"/>
      <c r="X18" s="7"/>
    </row>
    <row r="19" spans="1:24" s="10" customFormat="1" ht="246" customHeight="1" thickBot="1">
      <c r="A19" s="740"/>
      <c r="B19" s="673"/>
      <c r="C19" s="673"/>
      <c r="D19" s="673"/>
      <c r="E19" s="672"/>
      <c r="F19" s="738"/>
      <c r="G19" s="349" t="s">
        <v>411</v>
      </c>
      <c r="H19" s="349" t="s">
        <v>403</v>
      </c>
      <c r="I19" s="673"/>
      <c r="J19" s="510" t="s">
        <v>559</v>
      </c>
      <c r="K19" s="517" t="s">
        <v>560</v>
      </c>
      <c r="L19" s="8"/>
      <c r="M19" s="8"/>
      <c r="N19" s="8"/>
      <c r="O19" s="7"/>
      <c r="Q19" s="7"/>
      <c r="R19" s="7"/>
      <c r="S19" s="7"/>
      <c r="T19" s="7"/>
      <c r="U19" s="7"/>
      <c r="V19" s="7"/>
      <c r="W19" s="7"/>
      <c r="X19" s="7"/>
    </row>
    <row r="20" spans="1:24" s="10" customFormat="1" ht="15" customHeight="1" thickBot="1">
      <c r="A20" s="435">
        <v>1</v>
      </c>
      <c r="B20" s="436">
        <v>2</v>
      </c>
      <c r="C20" s="436">
        <v>3</v>
      </c>
      <c r="D20" s="436">
        <v>4</v>
      </c>
      <c r="E20" s="436">
        <v>5</v>
      </c>
      <c r="F20" s="436">
        <v>6</v>
      </c>
      <c r="G20" s="436">
        <v>7</v>
      </c>
      <c r="H20" s="436">
        <v>8</v>
      </c>
      <c r="I20" s="436">
        <v>9</v>
      </c>
      <c r="J20" s="436">
        <v>10</v>
      </c>
      <c r="K20" s="437">
        <v>11</v>
      </c>
      <c r="L20" s="8"/>
      <c r="M20" s="8"/>
      <c r="N20" s="8"/>
      <c r="O20" s="7"/>
      <c r="P20" s="7"/>
      <c r="Q20" s="7"/>
      <c r="R20" s="7"/>
      <c r="S20" s="7"/>
      <c r="T20" s="7"/>
      <c r="U20" s="7"/>
      <c r="V20" s="7"/>
      <c r="W20" s="7"/>
      <c r="X20" s="7"/>
    </row>
    <row r="21" spans="1:24" s="163" customFormat="1" ht="15" customHeight="1">
      <c r="A21" s="323"/>
      <c r="B21" s="194" t="s">
        <v>475</v>
      </c>
      <c r="C21" s="324" t="s">
        <v>261</v>
      </c>
      <c r="D21" s="307"/>
      <c r="E21" s="307"/>
      <c r="F21" s="307"/>
      <c r="G21" s="307"/>
      <c r="H21" s="307"/>
      <c r="I21" s="307"/>
      <c r="J21" s="307"/>
      <c r="K21" s="372"/>
      <c r="L21" s="11"/>
      <c r="M21" s="11"/>
      <c r="N21" s="11"/>
      <c r="O21" s="18"/>
      <c r="P21" s="18"/>
      <c r="Q21" s="18"/>
      <c r="R21" s="18"/>
      <c r="S21" s="18"/>
      <c r="T21" s="18"/>
      <c r="U21" s="18"/>
      <c r="V21" s="18"/>
      <c r="W21" s="18"/>
      <c r="X21" s="18"/>
    </row>
    <row r="22" spans="1:24" s="163" customFormat="1" ht="15.75">
      <c r="A22" s="207" t="s">
        <v>476</v>
      </c>
      <c r="B22" s="159" t="s">
        <v>477</v>
      </c>
      <c r="C22" s="173" t="s">
        <v>261</v>
      </c>
      <c r="D22" s="45" t="s">
        <v>368</v>
      </c>
      <c r="E22" s="45" t="s">
        <v>368</v>
      </c>
      <c r="F22" s="45" t="s">
        <v>368</v>
      </c>
      <c r="G22" s="45" t="s">
        <v>368</v>
      </c>
      <c r="H22" s="45" t="s">
        <v>368</v>
      </c>
      <c r="I22" s="45" t="s">
        <v>368</v>
      </c>
      <c r="J22" s="45" t="s">
        <v>368</v>
      </c>
      <c r="K22" s="279" t="s">
        <v>368</v>
      </c>
      <c r="L22" s="11"/>
      <c r="M22" s="11"/>
      <c r="N22" s="11"/>
      <c r="O22" s="18"/>
      <c r="P22" s="18"/>
      <c r="Q22" s="18"/>
      <c r="R22" s="18"/>
      <c r="S22" s="18"/>
      <c r="T22" s="18"/>
      <c r="U22" s="18"/>
      <c r="V22" s="18"/>
      <c r="W22" s="18"/>
      <c r="X22" s="18"/>
    </row>
    <row r="23" spans="1:24" s="163" customFormat="1" ht="15.75">
      <c r="A23" s="207" t="s">
        <v>478</v>
      </c>
      <c r="B23" s="159" t="s">
        <v>479</v>
      </c>
      <c r="C23" s="173" t="s">
        <v>261</v>
      </c>
      <c r="D23" s="45" t="s">
        <v>368</v>
      </c>
      <c r="E23" s="45" t="s">
        <v>368</v>
      </c>
      <c r="F23" s="45" t="s">
        <v>368</v>
      </c>
      <c r="G23" s="45" t="s">
        <v>368</v>
      </c>
      <c r="H23" s="45" t="s">
        <v>368</v>
      </c>
      <c r="I23" s="45" t="s">
        <v>368</v>
      </c>
      <c r="J23" s="45" t="s">
        <v>368</v>
      </c>
      <c r="K23" s="279" t="s">
        <v>368</v>
      </c>
      <c r="L23" s="11"/>
      <c r="M23" s="11"/>
      <c r="N23" s="11"/>
      <c r="O23" s="18"/>
      <c r="P23" s="18"/>
      <c r="Q23" s="18"/>
      <c r="R23" s="18"/>
      <c r="S23" s="18"/>
      <c r="T23" s="18"/>
      <c r="U23" s="18"/>
      <c r="V23" s="18"/>
      <c r="W23" s="18"/>
      <c r="X23" s="18"/>
    </row>
    <row r="24" spans="1:24" s="163" customFormat="1" ht="31.5" customHeight="1">
      <c r="A24" s="207" t="s">
        <v>480</v>
      </c>
      <c r="B24" s="159" t="s">
        <v>481</v>
      </c>
      <c r="C24" s="173" t="s">
        <v>261</v>
      </c>
      <c r="D24" s="45" t="s">
        <v>368</v>
      </c>
      <c r="E24" s="45" t="s">
        <v>368</v>
      </c>
      <c r="F24" s="45" t="s">
        <v>368</v>
      </c>
      <c r="G24" s="45" t="s">
        <v>368</v>
      </c>
      <c r="H24" s="45" t="s">
        <v>368</v>
      </c>
      <c r="I24" s="45" t="s">
        <v>368</v>
      </c>
      <c r="J24" s="45" t="s">
        <v>368</v>
      </c>
      <c r="K24" s="279" t="s">
        <v>368</v>
      </c>
      <c r="L24" s="11"/>
      <c r="M24" s="11"/>
      <c r="N24" s="11"/>
      <c r="O24" s="18"/>
      <c r="P24" s="18"/>
      <c r="Q24" s="18"/>
      <c r="R24" s="18"/>
      <c r="S24" s="18"/>
      <c r="T24" s="18"/>
      <c r="U24" s="18"/>
      <c r="V24" s="18"/>
      <c r="W24" s="18"/>
      <c r="X24" s="18"/>
    </row>
    <row r="25" spans="1:24" s="163" customFormat="1" ht="15.75">
      <c r="A25" s="207" t="s">
        <v>482</v>
      </c>
      <c r="B25" s="159" t="s">
        <v>483</v>
      </c>
      <c r="C25" s="173" t="s">
        <v>261</v>
      </c>
      <c r="D25" s="45" t="s">
        <v>368</v>
      </c>
      <c r="E25" s="45" t="s">
        <v>368</v>
      </c>
      <c r="F25" s="45" t="s">
        <v>368</v>
      </c>
      <c r="G25" s="45" t="s">
        <v>368</v>
      </c>
      <c r="H25" s="45" t="s">
        <v>368</v>
      </c>
      <c r="I25" s="45" t="s">
        <v>368</v>
      </c>
      <c r="J25" s="45" t="s">
        <v>368</v>
      </c>
      <c r="K25" s="279" t="s">
        <v>368</v>
      </c>
      <c r="L25" s="11"/>
      <c r="M25" s="11"/>
      <c r="N25" s="11"/>
      <c r="O25" s="18"/>
      <c r="P25" s="18"/>
      <c r="Q25" s="18"/>
      <c r="R25" s="18"/>
      <c r="S25" s="18"/>
      <c r="T25" s="18"/>
      <c r="U25" s="18"/>
      <c r="V25" s="18"/>
      <c r="W25" s="18"/>
      <c r="X25" s="18"/>
    </row>
    <row r="26" spans="1:24" s="163" customFormat="1" ht="31.5" customHeight="1">
      <c r="A26" s="207" t="s">
        <v>484</v>
      </c>
      <c r="B26" s="160" t="s">
        <v>485</v>
      </c>
      <c r="C26" s="173" t="s">
        <v>261</v>
      </c>
      <c r="D26" s="45" t="s">
        <v>368</v>
      </c>
      <c r="E26" s="45" t="s">
        <v>368</v>
      </c>
      <c r="F26" s="45" t="s">
        <v>368</v>
      </c>
      <c r="G26" s="45" t="s">
        <v>368</v>
      </c>
      <c r="H26" s="45" t="s">
        <v>368</v>
      </c>
      <c r="I26" s="45" t="s">
        <v>368</v>
      </c>
      <c r="J26" s="45" t="s">
        <v>368</v>
      </c>
      <c r="K26" s="279" t="s">
        <v>368</v>
      </c>
      <c r="L26" s="11"/>
      <c r="M26" s="11"/>
      <c r="N26" s="11"/>
      <c r="O26" s="18"/>
      <c r="P26" s="18"/>
      <c r="Q26" s="18"/>
      <c r="R26" s="18"/>
      <c r="S26" s="18"/>
      <c r="T26" s="18"/>
      <c r="U26" s="18"/>
      <c r="V26" s="18"/>
      <c r="W26" s="18"/>
      <c r="X26" s="18"/>
    </row>
    <row r="27" spans="1:24" s="163" customFormat="1" ht="15.75">
      <c r="A27" s="207" t="s">
        <v>486</v>
      </c>
      <c r="B27" s="160" t="s">
        <v>487</v>
      </c>
      <c r="C27" s="173" t="s">
        <v>261</v>
      </c>
      <c r="D27" s="45" t="s">
        <v>368</v>
      </c>
      <c r="E27" s="45" t="s">
        <v>368</v>
      </c>
      <c r="F27" s="45" t="s">
        <v>368</v>
      </c>
      <c r="G27" s="45" t="s">
        <v>368</v>
      </c>
      <c r="H27" s="45" t="s">
        <v>368</v>
      </c>
      <c r="I27" s="45" t="s">
        <v>368</v>
      </c>
      <c r="J27" s="45" t="s">
        <v>368</v>
      </c>
      <c r="K27" s="279" t="s">
        <v>368</v>
      </c>
      <c r="L27" s="11"/>
      <c r="M27" s="11"/>
      <c r="N27" s="11"/>
      <c r="O27" s="18"/>
      <c r="P27" s="18"/>
      <c r="Q27" s="18"/>
      <c r="R27" s="18"/>
      <c r="S27" s="18"/>
      <c r="T27" s="18"/>
      <c r="U27" s="18"/>
      <c r="V27" s="18"/>
      <c r="W27" s="18"/>
      <c r="X27" s="18"/>
    </row>
    <row r="28" spans="1:24" s="163" customFormat="1" ht="15.75">
      <c r="A28" s="207" t="s">
        <v>284</v>
      </c>
      <c r="B28" s="161" t="s">
        <v>260</v>
      </c>
      <c r="C28" s="173" t="s">
        <v>261</v>
      </c>
      <c r="D28" s="45" t="s">
        <v>368</v>
      </c>
      <c r="E28" s="45" t="s">
        <v>368</v>
      </c>
      <c r="F28" s="45" t="s">
        <v>368</v>
      </c>
      <c r="G28" s="45" t="s">
        <v>368</v>
      </c>
      <c r="H28" s="45" t="s">
        <v>368</v>
      </c>
      <c r="I28" s="45" t="s">
        <v>368</v>
      </c>
      <c r="J28" s="45" t="s">
        <v>368</v>
      </c>
      <c r="K28" s="279" t="s">
        <v>368</v>
      </c>
      <c r="L28" s="11"/>
      <c r="M28" s="11"/>
      <c r="N28" s="11"/>
      <c r="O28" s="18"/>
      <c r="P28" s="18"/>
      <c r="Q28" s="18"/>
      <c r="R28" s="18"/>
      <c r="S28" s="18"/>
      <c r="T28" s="18"/>
      <c r="U28" s="18"/>
      <c r="V28" s="18"/>
      <c r="W28" s="18"/>
      <c r="X28" s="18"/>
    </row>
    <row r="29" spans="1:24" s="163" customFormat="1" ht="31.5" customHeight="1">
      <c r="A29" s="207" t="s">
        <v>285</v>
      </c>
      <c r="B29" s="161" t="s">
        <v>263</v>
      </c>
      <c r="C29" s="173" t="s">
        <v>261</v>
      </c>
      <c r="D29" s="45" t="s">
        <v>368</v>
      </c>
      <c r="E29" s="45" t="s">
        <v>368</v>
      </c>
      <c r="F29" s="45" t="s">
        <v>368</v>
      </c>
      <c r="G29" s="45" t="s">
        <v>368</v>
      </c>
      <c r="H29" s="45" t="s">
        <v>368</v>
      </c>
      <c r="I29" s="45" t="s">
        <v>368</v>
      </c>
      <c r="J29" s="45" t="s">
        <v>368</v>
      </c>
      <c r="K29" s="279" t="s">
        <v>368</v>
      </c>
      <c r="L29" s="11"/>
      <c r="M29" s="11"/>
      <c r="N29" s="11"/>
      <c r="O29" s="18"/>
      <c r="P29" s="18"/>
      <c r="Q29" s="18"/>
      <c r="R29" s="18"/>
      <c r="S29" s="18"/>
      <c r="T29" s="18"/>
      <c r="U29" s="18"/>
      <c r="V29" s="18"/>
      <c r="W29" s="18"/>
      <c r="X29" s="18"/>
    </row>
    <row r="30" spans="1:24" s="163" customFormat="1" ht="32.25" customHeight="1">
      <c r="A30" s="281" t="str">
        <f>1!A33</f>
        <v>1.1</v>
      </c>
      <c r="B30" s="355" t="str">
        <f>1!B33</f>
        <v>Реконструкция ВЛ-0,4 кВ ул.Шоссейная, п.Иноземцево, (и/н 0000467), СИП-2 3х50+1х54,6 - 0,418 км, СИП-2 3х35+1х54,6 - 0,366 км и СИП-4 2х16 - 0,575 км</v>
      </c>
      <c r="C30" s="100" t="str">
        <f>1!C33</f>
        <v>G_Gelezno_001</v>
      </c>
      <c r="D30" s="45">
        <v>2017</v>
      </c>
      <c r="E30" s="45">
        <v>2017</v>
      </c>
      <c r="F30" s="45" t="s">
        <v>368</v>
      </c>
      <c r="G30" s="45" t="s">
        <v>368</v>
      </c>
      <c r="H30" s="45" t="s">
        <v>368</v>
      </c>
      <c r="I30" s="45" t="s">
        <v>368</v>
      </c>
      <c r="J30" s="45" t="s">
        <v>368</v>
      </c>
      <c r="K30" s="279" t="s">
        <v>368</v>
      </c>
      <c r="L30" s="11"/>
      <c r="M30" s="11"/>
      <c r="N30" s="11"/>
      <c r="O30" s="18"/>
      <c r="P30" s="18"/>
      <c r="Q30" s="18"/>
      <c r="R30" s="18"/>
      <c r="S30" s="18"/>
      <c r="T30" s="18"/>
      <c r="U30" s="18"/>
      <c r="V30" s="18"/>
      <c r="W30" s="18"/>
      <c r="X30" s="18"/>
    </row>
    <row r="31" spans="1:24" s="163" customFormat="1" ht="32.25" customHeight="1">
      <c r="A31" s="281" t="str">
        <f>1!A34</f>
        <v>1.1</v>
      </c>
      <c r="B31" s="355" t="str">
        <f>1!B34</f>
        <v>Реконструкция ВЛ-0,4 кВ ул.Р.Люксембург, г.Железноводск, (и/н 0000305), СИП-2 3х35+1х54,6 - 0,367 км и СИП-4 2х16 - 0,45 км</v>
      </c>
      <c r="C31" s="100" t="str">
        <f>1!C34</f>
        <v>G_Gelezno_002</v>
      </c>
      <c r="D31" s="45">
        <v>2017</v>
      </c>
      <c r="E31" s="45">
        <v>2017</v>
      </c>
      <c r="F31" s="45" t="s">
        <v>368</v>
      </c>
      <c r="G31" s="45" t="s">
        <v>368</v>
      </c>
      <c r="H31" s="45" t="s">
        <v>368</v>
      </c>
      <c r="I31" s="45" t="s">
        <v>368</v>
      </c>
      <c r="J31" s="45" t="s">
        <v>368</v>
      </c>
      <c r="K31" s="279" t="s">
        <v>368</v>
      </c>
      <c r="L31" s="11"/>
      <c r="M31" s="11"/>
      <c r="N31" s="11"/>
      <c r="O31" s="18"/>
      <c r="P31" s="18"/>
      <c r="Q31" s="18"/>
      <c r="R31" s="18"/>
      <c r="S31" s="18"/>
      <c r="T31" s="18"/>
      <c r="U31" s="18"/>
      <c r="V31" s="18"/>
      <c r="W31" s="18"/>
      <c r="X31" s="18"/>
    </row>
    <row r="32" spans="1:24" s="163" customFormat="1" ht="32.25" customHeight="1">
      <c r="A32" s="281" t="str">
        <f>1!A35</f>
        <v>1.1</v>
      </c>
      <c r="B32" s="355" t="str">
        <f>1!B35</f>
        <v>Реконструкция ВЛ-0,4 кВ ул.Свободы, п.Иноземцево, (и/н 0000450 и 0000451), СИП-2 3х35+1х54,6 - 2,35 км и СИП-4 2х16 - 2,97 км</v>
      </c>
      <c r="C32" s="100" t="str">
        <f>1!C35</f>
        <v>G_Gelezno_003</v>
      </c>
      <c r="D32" s="45">
        <v>2017</v>
      </c>
      <c r="E32" s="45">
        <v>2017</v>
      </c>
      <c r="F32" s="45" t="s">
        <v>368</v>
      </c>
      <c r="G32" s="45" t="s">
        <v>368</v>
      </c>
      <c r="H32" s="45" t="s">
        <v>368</v>
      </c>
      <c r="I32" s="45" t="s">
        <v>368</v>
      </c>
      <c r="J32" s="45" t="s">
        <v>368</v>
      </c>
      <c r="K32" s="279" t="s">
        <v>368</v>
      </c>
      <c r="L32" s="11"/>
      <c r="M32" s="11"/>
      <c r="N32" s="11"/>
      <c r="O32" s="18"/>
      <c r="P32" s="18"/>
      <c r="Q32" s="18"/>
      <c r="R32" s="18"/>
      <c r="S32" s="18"/>
      <c r="T32" s="18"/>
      <c r="U32" s="18"/>
      <c r="V32" s="18"/>
      <c r="W32" s="18"/>
      <c r="X32" s="18"/>
    </row>
    <row r="33" spans="1:24" s="163" customFormat="1" ht="32.25" customHeight="1">
      <c r="A33" s="281" t="str">
        <f>1!A36</f>
        <v>1.1</v>
      </c>
      <c r="B33" s="355" t="str">
        <f>1!B36</f>
        <v>Реконструкция ВЛ-0,4 кВ ул.Свободы до озера (от ул.Шоссей-ной), п.Иноземцево, (и/н 0000453), СИП-2 3х35+1х54,6 - 2,26 км и СИП-4 2х16 - 2,17 км</v>
      </c>
      <c r="C33" s="100" t="str">
        <f>1!C36</f>
        <v>G_Gelezno_004</v>
      </c>
      <c r="D33" s="45">
        <v>2017</v>
      </c>
      <c r="E33" s="45">
        <v>2017</v>
      </c>
      <c r="F33" s="45" t="s">
        <v>368</v>
      </c>
      <c r="G33" s="45" t="s">
        <v>368</v>
      </c>
      <c r="H33" s="45" t="s">
        <v>368</v>
      </c>
      <c r="I33" s="45" t="s">
        <v>368</v>
      </c>
      <c r="J33" s="45" t="s">
        <v>368</v>
      </c>
      <c r="K33" s="279" t="s">
        <v>368</v>
      </c>
      <c r="L33" s="11"/>
      <c r="M33" s="11"/>
      <c r="N33" s="11"/>
      <c r="O33" s="18"/>
      <c r="P33" s="18"/>
      <c r="Q33" s="18"/>
      <c r="R33" s="18"/>
      <c r="S33" s="18"/>
      <c r="T33" s="18"/>
      <c r="U33" s="18"/>
      <c r="V33" s="18"/>
      <c r="W33" s="18"/>
      <c r="X33" s="18"/>
    </row>
    <row r="34" spans="1:24" s="163" customFormat="1" ht="32.25" customHeight="1">
      <c r="A34" s="281" t="str">
        <f>1!A37</f>
        <v>1.1</v>
      </c>
      <c r="B34" s="355" t="str">
        <f>1!B37</f>
        <v>Реконструкция ВЛ-0,4 кВ ул.60 лет Октября, п.Иноземцево, (и/н 0000329 и 0000330), СИП-2 3х35+1х54,6 - 0,836 км и СИП-4 2х16 - 2,2 км</v>
      </c>
      <c r="C34" s="100" t="str">
        <f>1!C37</f>
        <v>G_Gelezno_005</v>
      </c>
      <c r="D34" s="45">
        <v>2017</v>
      </c>
      <c r="E34" s="45">
        <v>2017</v>
      </c>
      <c r="F34" s="45" t="s">
        <v>368</v>
      </c>
      <c r="G34" s="45" t="s">
        <v>368</v>
      </c>
      <c r="H34" s="45" t="s">
        <v>368</v>
      </c>
      <c r="I34" s="45" t="s">
        <v>368</v>
      </c>
      <c r="J34" s="45" t="s">
        <v>368</v>
      </c>
      <c r="K34" s="279" t="s">
        <v>368</v>
      </c>
      <c r="L34" s="11"/>
      <c r="M34" s="11"/>
      <c r="N34" s="11"/>
      <c r="O34" s="18"/>
      <c r="P34" s="18"/>
      <c r="Q34" s="18"/>
      <c r="R34" s="18"/>
      <c r="S34" s="18"/>
      <c r="T34" s="18"/>
      <c r="U34" s="18"/>
      <c r="V34" s="18"/>
      <c r="W34" s="18"/>
      <c r="X34" s="18"/>
    </row>
    <row r="35" spans="1:24" s="163" customFormat="1" ht="32.25" customHeight="1">
      <c r="A35" s="281" t="str">
        <f>1!A38</f>
        <v>1.1</v>
      </c>
      <c r="B35" s="355" t="str">
        <f>1!B38</f>
        <v>Реконструкция ВЛ-0,4 кВ ул.К.Цеткин и/н 0000376  и  ул.Пушкина и/н 0000440 п.Иноземцево, СИП-2 3х35+1х54,6 - 2,02 км и СИП-4 2х16 - 1,42 км</v>
      </c>
      <c r="C35" s="100" t="str">
        <f>1!C38</f>
        <v>G_Gelezno_006</v>
      </c>
      <c r="D35" s="45">
        <v>2017</v>
      </c>
      <c r="E35" s="45">
        <v>2017</v>
      </c>
      <c r="F35" s="45" t="s">
        <v>368</v>
      </c>
      <c r="G35" s="45" t="s">
        <v>368</v>
      </c>
      <c r="H35" s="45" t="s">
        <v>368</v>
      </c>
      <c r="I35" s="45" t="s">
        <v>368</v>
      </c>
      <c r="J35" s="45" t="s">
        <v>368</v>
      </c>
      <c r="K35" s="279" t="s">
        <v>368</v>
      </c>
      <c r="L35" s="11"/>
      <c r="M35" s="11"/>
      <c r="N35" s="11"/>
      <c r="O35" s="18"/>
      <c r="P35" s="18"/>
      <c r="Q35" s="18"/>
      <c r="R35" s="18"/>
      <c r="S35" s="18"/>
      <c r="T35" s="18"/>
      <c r="U35" s="18"/>
      <c r="V35" s="18"/>
      <c r="W35" s="18"/>
      <c r="X35" s="18"/>
    </row>
    <row r="36" spans="1:24" s="163" customFormat="1" ht="32.25" customHeight="1">
      <c r="A36" s="281" t="str">
        <f>1!A39</f>
        <v>1.1</v>
      </c>
      <c r="B36" s="355" t="str">
        <f>1!B39</f>
        <v>Реконструкция ВЛ-0,4 кВ ул.Бахановича, г.Железноводск, (и/н 0000285), СИП-2 3х35+1х54,6 - 0,502км и СИП-4 2х16 - 0,784 км</v>
      </c>
      <c r="C36" s="100" t="str">
        <f>1!C39</f>
        <v>G_Gelezno_007</v>
      </c>
      <c r="D36" s="45">
        <v>2017</v>
      </c>
      <c r="E36" s="45">
        <v>2017</v>
      </c>
      <c r="F36" s="45" t="s">
        <v>368</v>
      </c>
      <c r="G36" s="45" t="s">
        <v>368</v>
      </c>
      <c r="H36" s="45" t="s">
        <v>368</v>
      </c>
      <c r="I36" s="45" t="s">
        <v>368</v>
      </c>
      <c r="J36" s="45" t="s">
        <v>368</v>
      </c>
      <c r="K36" s="279" t="s">
        <v>368</v>
      </c>
      <c r="L36" s="11"/>
      <c r="M36" s="11"/>
      <c r="N36" s="11"/>
      <c r="O36" s="18"/>
      <c r="P36" s="18"/>
      <c r="Q36" s="18"/>
      <c r="R36" s="18"/>
      <c r="S36" s="18"/>
      <c r="T36" s="18"/>
      <c r="U36" s="18"/>
      <c r="V36" s="18"/>
      <c r="W36" s="18"/>
      <c r="X36" s="18"/>
    </row>
    <row r="37" spans="1:24" s="163" customFormat="1" ht="32.25" customHeight="1">
      <c r="A37" s="281" t="str">
        <f>1!A40</f>
        <v>1.1</v>
      </c>
      <c r="B37" s="355" t="str">
        <f>1!B40</f>
        <v>Реконструкция ВЛ-0,4 кВ ул.Ивановская, г. Железноводск, (и/н 0000370 и 0000371 ), СИП-2 3х35+1х54,6 - 1,12 км и СИП-4 2х16 - 0,4 км</v>
      </c>
      <c r="C37" s="100" t="str">
        <f>1!C40</f>
        <v>G_Gelezno_008</v>
      </c>
      <c r="D37" s="45">
        <v>2017</v>
      </c>
      <c r="E37" s="45">
        <v>2017</v>
      </c>
      <c r="F37" s="45" t="s">
        <v>368</v>
      </c>
      <c r="G37" s="45" t="s">
        <v>368</v>
      </c>
      <c r="H37" s="45" t="s">
        <v>368</v>
      </c>
      <c r="I37" s="45" t="s">
        <v>368</v>
      </c>
      <c r="J37" s="45" t="s">
        <v>368</v>
      </c>
      <c r="K37" s="279" t="s">
        <v>368</v>
      </c>
      <c r="L37" s="11"/>
      <c r="M37" s="11"/>
      <c r="N37" s="11"/>
      <c r="O37" s="18"/>
      <c r="P37" s="18"/>
      <c r="Q37" s="18"/>
      <c r="R37" s="18"/>
      <c r="S37" s="18"/>
      <c r="T37" s="18"/>
      <c r="U37" s="18"/>
      <c r="V37" s="18"/>
      <c r="W37" s="18"/>
      <c r="X37" s="18"/>
    </row>
    <row r="38" spans="1:24" s="163" customFormat="1" ht="32.25" customHeight="1">
      <c r="A38" s="281" t="str">
        <f>1!A41</f>
        <v>1.1</v>
      </c>
      <c r="B38" s="355" t="str">
        <f>1!B41</f>
        <v>Реконструкция ВЛ-0,4 кВ ул.Бахановича от ул.Чапаева, г.Желез-новодск, (и/н 0000283), СИП-2 3х35+1х54,6 - 0,836 км и СИП-4 2х16 - 1,306 км</v>
      </c>
      <c r="C38" s="100" t="str">
        <f>1!C41</f>
        <v>G_Gelezno_009</v>
      </c>
      <c r="D38" s="45">
        <v>2017</v>
      </c>
      <c r="E38" s="45">
        <v>2017</v>
      </c>
      <c r="F38" s="45" t="s">
        <v>368</v>
      </c>
      <c r="G38" s="45" t="s">
        <v>368</v>
      </c>
      <c r="H38" s="45" t="s">
        <v>368</v>
      </c>
      <c r="I38" s="45" t="s">
        <v>368</v>
      </c>
      <c r="J38" s="45" t="s">
        <v>368</v>
      </c>
      <c r="K38" s="279" t="s">
        <v>368</v>
      </c>
      <c r="L38" s="11"/>
      <c r="M38" s="11"/>
      <c r="N38" s="11"/>
      <c r="O38" s="18"/>
      <c r="P38" s="18"/>
      <c r="Q38" s="18"/>
      <c r="R38" s="18"/>
      <c r="S38" s="18"/>
      <c r="T38" s="18"/>
      <c r="U38" s="18"/>
      <c r="V38" s="18"/>
      <c r="W38" s="18"/>
      <c r="X38" s="18"/>
    </row>
    <row r="39" spans="1:24" s="163" customFormat="1" ht="9" customHeight="1">
      <c r="A39" s="281"/>
      <c r="B39" s="355"/>
      <c r="C39" s="100"/>
      <c r="D39" s="45"/>
      <c r="E39" s="45"/>
      <c r="F39" s="45"/>
      <c r="G39" s="45"/>
      <c r="H39" s="45"/>
      <c r="I39" s="45"/>
      <c r="J39" s="45"/>
      <c r="K39" s="279"/>
      <c r="L39" s="11"/>
      <c r="M39" s="11"/>
      <c r="N39" s="11"/>
      <c r="O39" s="18"/>
      <c r="P39" s="18"/>
      <c r="Q39" s="18"/>
      <c r="R39" s="18"/>
      <c r="S39" s="18"/>
      <c r="T39" s="18"/>
      <c r="U39" s="18"/>
      <c r="V39" s="18"/>
      <c r="W39" s="18"/>
      <c r="X39" s="18"/>
    </row>
    <row r="40" spans="1:24" s="326" customFormat="1" ht="15" customHeight="1">
      <c r="A40" s="282" t="str">
        <f>1!A43</f>
        <v>1.2</v>
      </c>
      <c r="B40" s="356" t="str">
        <f>1!B43</f>
        <v>Реконструкция трансформаторных и иных подстанций, всего, в том числе:</v>
      </c>
      <c r="C40" s="149" t="str">
        <f>1!C43</f>
        <v>Г</v>
      </c>
      <c r="D40" s="45"/>
      <c r="E40" s="45"/>
      <c r="F40" s="45" t="s">
        <v>368</v>
      </c>
      <c r="G40" s="45" t="s">
        <v>368</v>
      </c>
      <c r="H40" s="45" t="s">
        <v>368</v>
      </c>
      <c r="I40" s="45" t="s">
        <v>368</v>
      </c>
      <c r="J40" s="45" t="s">
        <v>368</v>
      </c>
      <c r="K40" s="279" t="s">
        <v>368</v>
      </c>
      <c r="L40" s="330"/>
      <c r="M40" s="330"/>
      <c r="N40" s="330"/>
      <c r="O40" s="327"/>
      <c r="P40" s="327"/>
      <c r="Q40" s="327"/>
      <c r="R40" s="327"/>
      <c r="S40" s="327"/>
      <c r="T40" s="327"/>
      <c r="U40" s="327"/>
      <c r="V40" s="327"/>
      <c r="W40" s="327"/>
      <c r="X40" s="327"/>
    </row>
    <row r="41" spans="1:24" s="163" customFormat="1" ht="31.5" customHeight="1">
      <c r="A41" s="281" t="str">
        <f>1!A44</f>
        <v>1.2</v>
      </c>
      <c r="B41" s="355" t="str">
        <f>1!B44</f>
        <v>Реконструкция в ТП-187  (и/н 0001379) (камера сборная серии КСО-393-13-400 - 1 шт. и камера сборная серии КСО-393-01 - 1шт.)</v>
      </c>
      <c r="C41" s="100" t="str">
        <f>1!C44</f>
        <v>G_Gelezno_010</v>
      </c>
      <c r="D41" s="45">
        <v>2017</v>
      </c>
      <c r="E41" s="45">
        <v>2017</v>
      </c>
      <c r="F41" s="45" t="s">
        <v>368</v>
      </c>
      <c r="G41" s="45" t="s">
        <v>368</v>
      </c>
      <c r="H41" s="45" t="s">
        <v>368</v>
      </c>
      <c r="I41" s="45" t="s">
        <v>368</v>
      </c>
      <c r="J41" s="45" t="s">
        <v>368</v>
      </c>
      <c r="K41" s="279" t="s">
        <v>368</v>
      </c>
      <c r="L41" s="11"/>
      <c r="M41" s="11"/>
      <c r="N41" s="11"/>
      <c r="O41" s="18"/>
      <c r="P41" s="18"/>
      <c r="Q41" s="18"/>
      <c r="R41" s="18"/>
      <c r="S41" s="18"/>
      <c r="T41" s="18"/>
      <c r="U41" s="18"/>
      <c r="V41" s="18"/>
      <c r="W41" s="18"/>
      <c r="X41" s="18"/>
    </row>
    <row r="42" spans="1:24" s="163" customFormat="1" ht="9" customHeight="1">
      <c r="A42" s="281"/>
      <c r="B42" s="355"/>
      <c r="C42" s="100"/>
      <c r="D42" s="45"/>
      <c r="E42" s="45"/>
      <c r="F42" s="45"/>
      <c r="G42" s="45"/>
      <c r="H42" s="45"/>
      <c r="I42" s="45"/>
      <c r="J42" s="45"/>
      <c r="K42" s="279"/>
      <c r="L42" s="11"/>
      <c r="M42" s="11"/>
      <c r="N42" s="11"/>
      <c r="O42" s="18"/>
      <c r="P42" s="18"/>
      <c r="Q42" s="18"/>
      <c r="R42" s="18"/>
      <c r="S42" s="18"/>
      <c r="T42" s="18"/>
      <c r="U42" s="18"/>
      <c r="V42" s="18"/>
      <c r="W42" s="18"/>
      <c r="X42" s="18"/>
    </row>
    <row r="43" spans="1:24" s="326" customFormat="1" ht="15" customHeight="1">
      <c r="A43" s="282" t="str">
        <f>1!A46</f>
        <v>1.3</v>
      </c>
      <c r="B43" s="356" t="str">
        <f>1!B46</f>
        <v>Прочие инвестиционные проекты, всего, в том числе:</v>
      </c>
      <c r="C43" s="149" t="str">
        <f>1!C46</f>
        <v>Г</v>
      </c>
      <c r="D43" s="45"/>
      <c r="E43" s="45"/>
      <c r="F43" s="45" t="s">
        <v>368</v>
      </c>
      <c r="G43" s="45" t="s">
        <v>368</v>
      </c>
      <c r="H43" s="45" t="s">
        <v>368</v>
      </c>
      <c r="I43" s="45" t="s">
        <v>368</v>
      </c>
      <c r="J43" s="45" t="s">
        <v>368</v>
      </c>
      <c r="K43" s="279" t="s">
        <v>368</v>
      </c>
      <c r="L43" s="330"/>
      <c r="M43" s="330"/>
      <c r="N43" s="330"/>
      <c r="O43" s="327"/>
      <c r="P43" s="327"/>
      <c r="Q43" s="327"/>
      <c r="R43" s="327"/>
      <c r="S43" s="327"/>
      <c r="T43" s="327"/>
      <c r="U43" s="327"/>
      <c r="V43" s="327"/>
      <c r="W43" s="327"/>
      <c r="X43" s="327"/>
    </row>
    <row r="44" spans="1:24" s="163" customFormat="1" ht="15" customHeight="1">
      <c r="A44" s="281" t="str">
        <f>1!A47</f>
        <v>1.3</v>
      </c>
      <c r="B44" s="355" t="str">
        <f>1!B47</f>
        <v>Внутренний контур системы коммерческого учёта АСКУЭ   в   ТП-40; 15; 185; 28; 9  и  РП-3; 4; 5; 6.</v>
      </c>
      <c r="C44" s="100" t="str">
        <f>1!C47</f>
        <v>G_Gelezno_011</v>
      </c>
      <c r="D44" s="45">
        <v>2017</v>
      </c>
      <c r="E44" s="45">
        <v>2017</v>
      </c>
      <c r="F44" s="45" t="s">
        <v>368</v>
      </c>
      <c r="G44" s="45" t="s">
        <v>368</v>
      </c>
      <c r="H44" s="45" t="s">
        <v>368</v>
      </c>
      <c r="I44" s="45" t="s">
        <v>368</v>
      </c>
      <c r="J44" s="45" t="s">
        <v>368</v>
      </c>
      <c r="K44" s="279" t="s">
        <v>368</v>
      </c>
      <c r="L44" s="11"/>
      <c r="M44" s="11"/>
      <c r="N44" s="11"/>
      <c r="O44" s="18"/>
      <c r="P44" s="18"/>
      <c r="Q44" s="18"/>
      <c r="R44" s="18"/>
      <c r="S44" s="18"/>
      <c r="T44" s="18"/>
      <c r="U44" s="18"/>
      <c r="V44" s="18"/>
      <c r="W44" s="18"/>
      <c r="X44" s="18"/>
    </row>
    <row r="45" spans="1:24" s="163" customFormat="1" ht="15" customHeight="1">
      <c r="A45" s="281" t="str">
        <f>1!A48</f>
        <v>1.3</v>
      </c>
      <c r="B45" s="355" t="str">
        <f>1!B48</f>
        <v>Оборудование, не требующее монтажа</v>
      </c>
      <c r="C45" s="100" t="str">
        <f>1!C48</f>
        <v>G_Gelezno_012</v>
      </c>
      <c r="D45" s="45">
        <v>2017</v>
      </c>
      <c r="E45" s="45">
        <v>2017</v>
      </c>
      <c r="F45" s="45"/>
      <c r="G45" s="45"/>
      <c r="H45" s="45"/>
      <c r="I45" s="45"/>
      <c r="J45" s="45"/>
      <c r="K45" s="279"/>
      <c r="L45" s="11"/>
      <c r="M45" s="11"/>
      <c r="N45" s="11"/>
      <c r="O45" s="18"/>
      <c r="P45" s="18"/>
      <c r="Q45" s="18"/>
      <c r="R45" s="18"/>
      <c r="S45" s="18"/>
      <c r="T45" s="18"/>
      <c r="U45" s="18"/>
      <c r="V45" s="18"/>
      <c r="W45" s="18"/>
      <c r="X45" s="18"/>
    </row>
    <row r="46" spans="1:24" s="163" customFormat="1" ht="9" customHeight="1">
      <c r="A46" s="281"/>
      <c r="B46" s="355"/>
      <c r="C46" s="100"/>
      <c r="D46" s="45"/>
      <c r="E46" s="45"/>
      <c r="F46" s="45"/>
      <c r="G46" s="45"/>
      <c r="H46" s="45"/>
      <c r="I46" s="45"/>
      <c r="J46" s="45"/>
      <c r="K46" s="279"/>
      <c r="L46" s="11"/>
      <c r="M46" s="11"/>
      <c r="N46" s="11"/>
      <c r="O46" s="18"/>
      <c r="P46" s="18"/>
      <c r="Q46" s="18"/>
      <c r="R46" s="18"/>
      <c r="S46" s="18"/>
      <c r="T46" s="18"/>
      <c r="U46" s="18"/>
      <c r="V46" s="18"/>
      <c r="W46" s="18"/>
      <c r="X46" s="18"/>
    </row>
    <row r="47" spans="1:24" s="326" customFormat="1" ht="15" customHeight="1">
      <c r="A47" s="282" t="str">
        <f>1!A50</f>
        <v>1.4</v>
      </c>
      <c r="B47" s="356" t="str">
        <f>1!B50</f>
        <v>Новое строительство, всего, в том числе:</v>
      </c>
      <c r="C47" s="149" t="str">
        <f>1!C50</f>
        <v>Г</v>
      </c>
      <c r="D47" s="45"/>
      <c r="E47" s="45"/>
      <c r="F47" s="45" t="s">
        <v>368</v>
      </c>
      <c r="G47" s="45" t="s">
        <v>368</v>
      </c>
      <c r="H47" s="45" t="s">
        <v>368</v>
      </c>
      <c r="I47" s="45" t="s">
        <v>368</v>
      </c>
      <c r="J47" s="45" t="s">
        <v>368</v>
      </c>
      <c r="K47" s="279" t="s">
        <v>368</v>
      </c>
      <c r="L47" s="330"/>
      <c r="M47" s="330"/>
      <c r="N47" s="330"/>
      <c r="O47" s="327"/>
      <c r="P47" s="327"/>
      <c r="Q47" s="327"/>
      <c r="R47" s="327"/>
      <c r="S47" s="327"/>
      <c r="T47" s="327"/>
      <c r="U47" s="327"/>
      <c r="V47" s="327"/>
      <c r="W47" s="327"/>
      <c r="X47" s="327"/>
    </row>
    <row r="48" spans="1:24" s="326" customFormat="1" ht="15" customHeight="1">
      <c r="A48" s="282" t="str">
        <f>1!A51</f>
        <v>1.4.1</v>
      </c>
      <c r="B48" s="356" t="str">
        <f>1!B51</f>
        <v>Прочее новое строительство объектов электросетевого хозяйства</v>
      </c>
      <c r="C48" s="100"/>
      <c r="D48" s="45">
        <v>2017</v>
      </c>
      <c r="E48" s="45">
        <v>2017</v>
      </c>
      <c r="F48" s="45" t="s">
        <v>368</v>
      </c>
      <c r="G48" s="45" t="s">
        <v>368</v>
      </c>
      <c r="H48" s="45" t="s">
        <v>368</v>
      </c>
      <c r="I48" s="45" t="s">
        <v>368</v>
      </c>
      <c r="J48" s="45" t="s">
        <v>368</v>
      </c>
      <c r="K48" s="279" t="s">
        <v>368</v>
      </c>
      <c r="L48" s="330"/>
      <c r="M48" s="330"/>
      <c r="N48" s="330"/>
      <c r="O48" s="327"/>
      <c r="P48" s="327"/>
      <c r="Q48" s="327"/>
      <c r="R48" s="327"/>
      <c r="S48" s="327"/>
      <c r="T48" s="327"/>
      <c r="U48" s="327"/>
      <c r="V48" s="327"/>
      <c r="W48" s="327"/>
      <c r="X48" s="327"/>
    </row>
    <row r="49" spans="1:24" s="163" customFormat="1" ht="30">
      <c r="A49" s="281" t="str">
        <f>1!A52</f>
        <v>1.4.1.1</v>
      </c>
      <c r="B49" s="355" t="str">
        <f>1!B52</f>
        <v>Строительство КЛ-10 кВ, Ф-187(С-2) от ПС"Машук" до ТП-187, п.Иноземцево , L=2,244 км (ААБлУ 3х240)</v>
      </c>
      <c r="C49" s="100" t="str">
        <f>1!C52</f>
        <v>G_Gelezno_013</v>
      </c>
      <c r="D49" s="45">
        <v>2017</v>
      </c>
      <c r="E49" s="45">
        <v>2017</v>
      </c>
      <c r="F49" s="45" t="s">
        <v>368</v>
      </c>
      <c r="G49" s="45" t="s">
        <v>368</v>
      </c>
      <c r="H49" s="45" t="s">
        <v>368</v>
      </c>
      <c r="I49" s="45" t="s">
        <v>368</v>
      </c>
      <c r="J49" s="45" t="s">
        <v>368</v>
      </c>
      <c r="K49" s="279" t="s">
        <v>368</v>
      </c>
      <c r="L49" s="11"/>
      <c r="M49" s="11"/>
      <c r="N49" s="11"/>
      <c r="O49" s="18"/>
      <c r="P49" s="18"/>
      <c r="Q49" s="18"/>
      <c r="R49" s="18"/>
      <c r="S49" s="18"/>
      <c r="T49" s="18"/>
      <c r="U49" s="18"/>
      <c r="V49" s="18"/>
      <c r="W49" s="18"/>
      <c r="X49" s="18"/>
    </row>
    <row r="50" spans="1:24" s="163" customFormat="1" ht="15" customHeight="1">
      <c r="A50" s="282" t="str">
        <f>1!A53</f>
        <v>1.4.2</v>
      </c>
      <c r="B50" s="356" t="str">
        <f>1!B53</f>
        <v>Прочее новое строительство, в счёт тех.присоединений</v>
      </c>
      <c r="C50" s="411"/>
      <c r="D50" s="45"/>
      <c r="E50" s="45"/>
      <c r="F50" s="45"/>
      <c r="G50" s="45"/>
      <c r="H50" s="45"/>
      <c r="I50" s="45"/>
      <c r="J50" s="45"/>
      <c r="K50" s="279"/>
      <c r="L50" s="11"/>
      <c r="M50" s="11"/>
      <c r="N50" s="11"/>
      <c r="O50" s="18"/>
      <c r="P50" s="18"/>
      <c r="Q50" s="18"/>
      <c r="R50" s="18"/>
      <c r="S50" s="18"/>
      <c r="T50" s="18"/>
      <c r="U50" s="18"/>
      <c r="V50" s="18"/>
      <c r="W50" s="18"/>
      <c r="X50" s="18"/>
    </row>
    <row r="51" spans="1:24" s="163" customFormat="1" ht="30">
      <c r="A51" s="515" t="str">
        <f>1!A54</f>
        <v>1.4.2.1</v>
      </c>
      <c r="B51" s="355" t="str">
        <f>1!B54</f>
        <v>Строительство ВЛ-0,4 кВ от РУ-0,4 кВ ТП-185 до ВРУ офисного здания ул.Пушкина,2А, п.Иноземцево, L=0,235 км (СИП-2 3х50+1х54)</v>
      </c>
      <c r="C51" s="513" t="str">
        <f>1!C54</f>
        <v>G_Gelezno_ТР1</v>
      </c>
      <c r="D51" s="45">
        <v>2017</v>
      </c>
      <c r="E51" s="45">
        <v>2017</v>
      </c>
      <c r="F51" s="45" t="s">
        <v>368</v>
      </c>
      <c r="G51" s="45" t="s">
        <v>368</v>
      </c>
      <c r="H51" s="45" t="s">
        <v>368</v>
      </c>
      <c r="I51" s="45" t="s">
        <v>368</v>
      </c>
      <c r="J51" s="45" t="s">
        <v>368</v>
      </c>
      <c r="K51" s="279" t="s">
        <v>368</v>
      </c>
      <c r="L51" s="11"/>
      <c r="M51" s="11"/>
      <c r="N51" s="11"/>
      <c r="O51" s="18"/>
      <c r="P51" s="18"/>
      <c r="Q51" s="18"/>
      <c r="R51" s="18"/>
      <c r="S51" s="18"/>
      <c r="T51" s="18"/>
      <c r="U51" s="18"/>
      <c r="V51" s="18"/>
      <c r="W51" s="18"/>
      <c r="X51" s="18"/>
    </row>
    <row r="52" spans="1:24" s="163" customFormat="1" ht="30">
      <c r="A52" s="515" t="str">
        <f>1!A55</f>
        <v>1.4.2.2</v>
      </c>
      <c r="B52" s="355" t="str">
        <f>1!B55</f>
        <v>Строительство КЛ-0,4 кВ от РУ-0,4 кВ ТП-18 (С1) до ВРУ МКЖД ул.Косякина (район дома № 49), г.Железноводск, (Линия 1), L=0,143 км (ААБл 4х120)</v>
      </c>
      <c r="C52" s="513" t="str">
        <f>1!C55</f>
        <v>G_Gelezno_ТР2</v>
      </c>
      <c r="D52" s="45">
        <v>2017</v>
      </c>
      <c r="E52" s="45">
        <v>2017</v>
      </c>
      <c r="F52" s="45" t="s">
        <v>368</v>
      </c>
      <c r="G52" s="45" t="s">
        <v>368</v>
      </c>
      <c r="H52" s="45" t="s">
        <v>368</v>
      </c>
      <c r="I52" s="45" t="s">
        <v>368</v>
      </c>
      <c r="J52" s="45" t="s">
        <v>368</v>
      </c>
      <c r="K52" s="279" t="s">
        <v>368</v>
      </c>
      <c r="L52" s="11"/>
      <c r="M52" s="11"/>
      <c r="N52" s="11"/>
      <c r="O52" s="18"/>
      <c r="P52" s="18"/>
      <c r="Q52" s="18"/>
      <c r="R52" s="18"/>
      <c r="S52" s="18"/>
      <c r="T52" s="18"/>
      <c r="U52" s="18"/>
      <c r="V52" s="18"/>
      <c r="W52" s="18"/>
      <c r="X52" s="18"/>
    </row>
    <row r="53" spans="1:24" s="163" customFormat="1" ht="30">
      <c r="A53" s="515" t="str">
        <f>1!A56</f>
        <v>1.4.2.3</v>
      </c>
      <c r="B53" s="355" t="str">
        <f>1!B56</f>
        <v>Строительство КЛ-0,4 кВ от РУ-0,4 кВ ТП-18 (С2) до ВРУ МКЖД ул.Косякина (район дома № 49), г.Железноводск, (Линия 2), L=0,143 км (ААБл 4х120)</v>
      </c>
      <c r="C53" s="513" t="str">
        <f>1!C56</f>
        <v>G_Gelezno_ТР3</v>
      </c>
      <c r="D53" s="45">
        <v>2017</v>
      </c>
      <c r="E53" s="45">
        <v>2017</v>
      </c>
      <c r="F53" s="45" t="s">
        <v>368</v>
      </c>
      <c r="G53" s="45" t="s">
        <v>368</v>
      </c>
      <c r="H53" s="45" t="s">
        <v>368</v>
      </c>
      <c r="I53" s="45" t="s">
        <v>368</v>
      </c>
      <c r="J53" s="45" t="s">
        <v>368</v>
      </c>
      <c r="K53" s="279" t="s">
        <v>368</v>
      </c>
      <c r="L53" s="11"/>
      <c r="M53" s="11"/>
      <c r="N53" s="11"/>
      <c r="O53" s="18"/>
      <c r="P53" s="18"/>
      <c r="Q53" s="18"/>
      <c r="R53" s="18"/>
      <c r="S53" s="18"/>
      <c r="T53" s="18"/>
      <c r="U53" s="18"/>
      <c r="V53" s="18"/>
      <c r="W53" s="18"/>
      <c r="X53" s="18"/>
    </row>
    <row r="54" spans="1:24" s="163" customFormat="1" ht="15">
      <c r="A54" s="515" t="str">
        <f>1!A57</f>
        <v>1.4.2.4</v>
      </c>
      <c r="B54" s="355" t="str">
        <f>1!B57</f>
        <v>Строительство КТП-247 в районе озера "Карас", п.Иноземцево (250 кВА)</v>
      </c>
      <c r="C54" s="513" t="str">
        <f>1!C57</f>
        <v>G_Gelezno_ТР4</v>
      </c>
      <c r="D54" s="45">
        <v>2017</v>
      </c>
      <c r="E54" s="45">
        <v>2017</v>
      </c>
      <c r="F54" s="45" t="s">
        <v>368</v>
      </c>
      <c r="G54" s="45" t="s">
        <v>368</v>
      </c>
      <c r="H54" s="45" t="s">
        <v>368</v>
      </c>
      <c r="I54" s="45" t="s">
        <v>368</v>
      </c>
      <c r="J54" s="45" t="s">
        <v>368</v>
      </c>
      <c r="K54" s="279" t="s">
        <v>368</v>
      </c>
      <c r="L54" s="11"/>
      <c r="M54" s="11"/>
      <c r="N54" s="11"/>
      <c r="O54" s="18"/>
      <c r="P54" s="18"/>
      <c r="Q54" s="18"/>
      <c r="R54" s="18"/>
      <c r="S54" s="18"/>
      <c r="T54" s="18"/>
      <c r="U54" s="18"/>
      <c r="V54" s="18"/>
      <c r="W54" s="18"/>
      <c r="X54" s="18"/>
    </row>
    <row r="55" spans="1:24" s="163" customFormat="1" ht="30">
      <c r="A55" s="515" t="str">
        <f>1!A58</f>
        <v>1.4.2.5</v>
      </c>
      <c r="B55" s="355"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55" s="513" t="str">
        <f>1!C58</f>
        <v>G_Gelezno_ТР5</v>
      </c>
      <c r="D55" s="45">
        <v>2017</v>
      </c>
      <c r="E55" s="45">
        <v>2017</v>
      </c>
      <c r="F55" s="45" t="s">
        <v>368</v>
      </c>
      <c r="G55" s="45" t="s">
        <v>368</v>
      </c>
      <c r="H55" s="45" t="s">
        <v>368</v>
      </c>
      <c r="I55" s="45" t="s">
        <v>368</v>
      </c>
      <c r="J55" s="45" t="s">
        <v>368</v>
      </c>
      <c r="K55" s="279" t="s">
        <v>368</v>
      </c>
      <c r="L55" s="11"/>
      <c r="M55" s="11"/>
      <c r="N55" s="11"/>
      <c r="O55" s="18"/>
      <c r="P55" s="18"/>
      <c r="Q55" s="18"/>
      <c r="R55" s="18"/>
      <c r="S55" s="18"/>
      <c r="T55" s="18"/>
      <c r="U55" s="18"/>
      <c r="V55" s="18"/>
      <c r="W55" s="18"/>
      <c r="X55" s="18"/>
    </row>
    <row r="56" spans="1:24" s="163" customFormat="1" ht="15">
      <c r="A56" s="515" t="str">
        <f>1!A59</f>
        <v>1.4.2.6</v>
      </c>
      <c r="B56" s="355" t="str">
        <f>1!B59</f>
        <v>Строительство КЛ-10 кВ от РУ-10 кВ КТП-224 до КТП-247, п.Иноземцево, L=0,918 км (АСБ 3х120)</v>
      </c>
      <c r="C56" s="513" t="str">
        <f>1!C59</f>
        <v>G_Gelezno_ТР6</v>
      </c>
      <c r="D56" s="45">
        <v>2017</v>
      </c>
      <c r="E56" s="45">
        <v>2017</v>
      </c>
      <c r="F56" s="45" t="s">
        <v>368</v>
      </c>
      <c r="G56" s="45" t="s">
        <v>368</v>
      </c>
      <c r="H56" s="45" t="s">
        <v>368</v>
      </c>
      <c r="I56" s="45" t="s">
        <v>368</v>
      </c>
      <c r="J56" s="45" t="s">
        <v>368</v>
      </c>
      <c r="K56" s="279" t="s">
        <v>368</v>
      </c>
      <c r="L56" s="11"/>
      <c r="M56" s="11"/>
      <c r="N56" s="11"/>
      <c r="O56" s="18"/>
      <c r="P56" s="18"/>
      <c r="Q56" s="18"/>
      <c r="R56" s="18"/>
      <c r="S56" s="18"/>
      <c r="T56" s="18"/>
      <c r="U56" s="18"/>
      <c r="V56" s="18"/>
      <c r="W56" s="18"/>
      <c r="X56" s="18"/>
    </row>
    <row r="57" spans="1:24" s="163" customFormat="1" ht="30">
      <c r="A57" s="515" t="str">
        <f>1!A60</f>
        <v>1.4.2.7</v>
      </c>
      <c r="B57" s="355" t="str">
        <f>1!B60</f>
        <v>Строительство КЛ-0,4 кВ от РУ-0,4 кВ ТП-50 (С-1) до ВРУ МКЖД по ул.Ленина,49(линия 1), г.Железноводск, L=0,061 км (АВБбШв 4х240)</v>
      </c>
      <c r="C57" s="513" t="str">
        <f>1!C60</f>
        <v>G_Gelezno_ТР7</v>
      </c>
      <c r="D57" s="45">
        <v>2017</v>
      </c>
      <c r="E57" s="45">
        <v>2017</v>
      </c>
      <c r="F57" s="45" t="s">
        <v>368</v>
      </c>
      <c r="G57" s="45" t="s">
        <v>368</v>
      </c>
      <c r="H57" s="45" t="s">
        <v>368</v>
      </c>
      <c r="I57" s="45" t="s">
        <v>368</v>
      </c>
      <c r="J57" s="45" t="s">
        <v>368</v>
      </c>
      <c r="K57" s="279" t="s">
        <v>368</v>
      </c>
      <c r="L57" s="11"/>
      <c r="M57" s="11"/>
      <c r="N57" s="11"/>
      <c r="O57" s="18"/>
      <c r="P57" s="18"/>
      <c r="Q57" s="18"/>
      <c r="R57" s="18"/>
      <c r="S57" s="18"/>
      <c r="T57" s="18"/>
      <c r="U57" s="18"/>
      <c r="V57" s="18"/>
      <c r="W57" s="18"/>
      <c r="X57" s="18"/>
    </row>
    <row r="58" spans="1:24" s="163" customFormat="1" ht="30">
      <c r="A58" s="515" t="str">
        <f>1!A61</f>
        <v>1.4.2.8</v>
      </c>
      <c r="B58" s="355" t="str">
        <f>1!B61</f>
        <v>Строительство КЛ-0,4 кВ от РУ-0,4 кВ ТП-50(С-2) до ВРУ МКЖД по ул.Ленина,49(линия 2), г.Железноводск, L=0,061 км (АВБбШв 4х240)</v>
      </c>
      <c r="C58" s="513" t="str">
        <f>1!C61</f>
        <v>G_Gelezno_ТР8</v>
      </c>
      <c r="D58" s="45">
        <v>2017</v>
      </c>
      <c r="E58" s="45">
        <v>2017</v>
      </c>
      <c r="F58" s="45" t="s">
        <v>368</v>
      </c>
      <c r="G58" s="45" t="s">
        <v>368</v>
      </c>
      <c r="H58" s="45" t="s">
        <v>368</v>
      </c>
      <c r="I58" s="45" t="s">
        <v>368</v>
      </c>
      <c r="J58" s="45" t="s">
        <v>368</v>
      </c>
      <c r="K58" s="279" t="s">
        <v>368</v>
      </c>
      <c r="L58" s="11"/>
      <c r="M58" s="11"/>
      <c r="N58" s="11"/>
      <c r="O58" s="18"/>
      <c r="P58" s="18"/>
      <c r="Q58" s="18"/>
      <c r="R58" s="18"/>
      <c r="S58" s="18"/>
      <c r="T58" s="18"/>
      <c r="U58" s="18"/>
      <c r="V58" s="18"/>
      <c r="W58" s="18"/>
      <c r="X58" s="18"/>
    </row>
    <row r="59" spans="1:24" s="163" customFormat="1" ht="15">
      <c r="A59" s="515" t="str">
        <f>1!A62</f>
        <v>1.4.2.9</v>
      </c>
      <c r="B59" s="355" t="str">
        <f>1!B62</f>
        <v>Строительство КТП-105 ул.Октябрьская, 96 Б, п.Иноземцево (250 кВА)</v>
      </c>
      <c r="C59" s="513" t="str">
        <f>1!C62</f>
        <v>G_Gelezno_ТР9</v>
      </c>
      <c r="D59" s="45">
        <v>2017</v>
      </c>
      <c r="E59" s="45">
        <v>2017</v>
      </c>
      <c r="F59" s="45" t="s">
        <v>368</v>
      </c>
      <c r="G59" s="45" t="s">
        <v>368</v>
      </c>
      <c r="H59" s="45" t="s">
        <v>368</v>
      </c>
      <c r="I59" s="45" t="s">
        <v>368</v>
      </c>
      <c r="J59" s="45" t="s">
        <v>368</v>
      </c>
      <c r="K59" s="279" t="s">
        <v>368</v>
      </c>
      <c r="L59" s="11"/>
      <c r="M59" s="11"/>
      <c r="N59" s="11"/>
      <c r="O59" s="18"/>
      <c r="P59" s="18"/>
      <c r="Q59" s="18"/>
      <c r="R59" s="18"/>
      <c r="S59" s="18"/>
      <c r="T59" s="18"/>
      <c r="U59" s="18"/>
      <c r="V59" s="18"/>
      <c r="W59" s="18"/>
      <c r="X59" s="18"/>
    </row>
    <row r="60" spans="1:24" s="163" customFormat="1" ht="30">
      <c r="A60" s="515" t="str">
        <f>1!A63</f>
        <v>1.4.2.10</v>
      </c>
      <c r="B60" s="355" t="str">
        <f>1!B63</f>
        <v>Строительство КЛ-0,4 кВ от РП-2 (С-1) до ВРУ тренировочной площадки стадииона "Спартак" ул.Калинина,3 (линия 1), г.Железноводск, L= 0,245 км (АВБбШв 4х240)</v>
      </c>
      <c r="C60" s="513" t="str">
        <f>1!C63</f>
        <v>G_Gelezno_ТР10</v>
      </c>
      <c r="D60" s="45">
        <v>2017</v>
      </c>
      <c r="E60" s="45">
        <v>2017</v>
      </c>
      <c r="F60" s="45" t="s">
        <v>368</v>
      </c>
      <c r="G60" s="45" t="s">
        <v>368</v>
      </c>
      <c r="H60" s="45" t="s">
        <v>368</v>
      </c>
      <c r="I60" s="45" t="s">
        <v>368</v>
      </c>
      <c r="J60" s="45" t="s">
        <v>368</v>
      </c>
      <c r="K60" s="279" t="s">
        <v>368</v>
      </c>
      <c r="L60" s="11"/>
      <c r="M60" s="11"/>
      <c r="N60" s="11"/>
      <c r="O60" s="18"/>
      <c r="P60" s="18"/>
      <c r="Q60" s="18"/>
      <c r="R60" s="18"/>
      <c r="S60" s="18"/>
      <c r="T60" s="18"/>
      <c r="U60" s="18"/>
      <c r="V60" s="18"/>
      <c r="W60" s="18"/>
      <c r="X60" s="18"/>
    </row>
    <row r="61" spans="1:24" s="163" customFormat="1" ht="30">
      <c r="A61" s="515" t="str">
        <f>1!A64</f>
        <v>1.4.2.11</v>
      </c>
      <c r="B61" s="355" t="str">
        <f>1!B64</f>
        <v>Строительство КЛ-0,4 кВ от РП-2 (С-2) до ВРУ тренировочной площадки стадиона "Спартак" ул.Калинина,3 (линия 2), г.Железноводск, L= 0,245 км (АВБбШв 4х240)</v>
      </c>
      <c r="C61" s="513" t="str">
        <f>1!C64</f>
        <v>G_Gelezno_ТР11</v>
      </c>
      <c r="D61" s="45">
        <v>2017</v>
      </c>
      <c r="E61" s="45">
        <v>2017</v>
      </c>
      <c r="F61" s="45" t="s">
        <v>368</v>
      </c>
      <c r="G61" s="45" t="s">
        <v>368</v>
      </c>
      <c r="H61" s="45" t="s">
        <v>368</v>
      </c>
      <c r="I61" s="45" t="s">
        <v>368</v>
      </c>
      <c r="J61" s="45" t="s">
        <v>368</v>
      </c>
      <c r="K61" s="279" t="s">
        <v>368</v>
      </c>
      <c r="L61" s="11"/>
      <c r="M61" s="11"/>
      <c r="N61" s="11"/>
      <c r="O61" s="18"/>
      <c r="P61" s="18"/>
      <c r="Q61" s="18"/>
      <c r="R61" s="18"/>
      <c r="S61" s="18"/>
      <c r="T61" s="18"/>
      <c r="U61" s="18"/>
      <c r="V61" s="18"/>
      <c r="W61" s="18"/>
      <c r="X61" s="18"/>
    </row>
    <row r="62" spans="1:24" s="163" customFormat="1" ht="15">
      <c r="A62" s="515" t="str">
        <f>1!A65</f>
        <v>1.4.2.12</v>
      </c>
      <c r="B62" s="355" t="str">
        <f>1!B65</f>
        <v>Строительство КТП-248 ул.Тихая,8, п.Иноземцево (ТМГ-250 кВА)</v>
      </c>
      <c r="C62" s="513" t="str">
        <f>1!C65</f>
        <v>G_Gelezno_ТР12</v>
      </c>
      <c r="D62" s="45">
        <v>2017</v>
      </c>
      <c r="E62" s="45">
        <v>2017</v>
      </c>
      <c r="F62" s="45" t="s">
        <v>368</v>
      </c>
      <c r="G62" s="45" t="s">
        <v>368</v>
      </c>
      <c r="H62" s="45" t="s">
        <v>368</v>
      </c>
      <c r="I62" s="45" t="s">
        <v>368</v>
      </c>
      <c r="J62" s="45" t="s">
        <v>368</v>
      </c>
      <c r="K62" s="279" t="s">
        <v>368</v>
      </c>
      <c r="L62" s="11"/>
      <c r="M62" s="11"/>
      <c r="N62" s="11"/>
      <c r="O62" s="18"/>
      <c r="P62" s="18"/>
      <c r="Q62" s="18"/>
      <c r="R62" s="18"/>
      <c r="S62" s="18"/>
      <c r="T62" s="18"/>
      <c r="U62" s="18"/>
      <c r="V62" s="18"/>
      <c r="W62" s="18"/>
      <c r="X62" s="18"/>
    </row>
    <row r="63" spans="1:24" s="163" customFormat="1" ht="30">
      <c r="A63" s="515" t="str">
        <f>1!A66</f>
        <v>1.4.2.13</v>
      </c>
      <c r="B63" s="355" t="str">
        <f>1!B66</f>
        <v>Строительство ВЛ-0,4 кВ от КТП-233 до ВРУ магазина ул.Вокзальная, 46А, п.Иноземцево, L= 0,408 км (СИП-2 3х50+1х54,6)</v>
      </c>
      <c r="C63" s="513" t="str">
        <f>1!C66</f>
        <v>G_Gelezno_ТР13</v>
      </c>
      <c r="D63" s="45">
        <v>2017</v>
      </c>
      <c r="E63" s="45">
        <v>2017</v>
      </c>
      <c r="F63" s="45" t="s">
        <v>368</v>
      </c>
      <c r="G63" s="45" t="s">
        <v>368</v>
      </c>
      <c r="H63" s="45" t="s">
        <v>368</v>
      </c>
      <c r="I63" s="45" t="s">
        <v>368</v>
      </c>
      <c r="J63" s="45" t="s">
        <v>368</v>
      </c>
      <c r="K63" s="279" t="s">
        <v>368</v>
      </c>
      <c r="L63" s="11"/>
      <c r="M63" s="11"/>
      <c r="N63" s="11"/>
      <c r="O63" s="18"/>
      <c r="P63" s="18"/>
      <c r="Q63" s="18"/>
      <c r="R63" s="18"/>
      <c r="S63" s="18"/>
      <c r="T63" s="18"/>
      <c r="U63" s="18"/>
      <c r="V63" s="18"/>
      <c r="W63" s="18"/>
      <c r="X63" s="18"/>
    </row>
    <row r="64" spans="1:24" s="163" customFormat="1" ht="30">
      <c r="A64" s="515" t="str">
        <f>1!A67</f>
        <v>1.4.2.14</v>
      </c>
      <c r="B64" s="355" t="str">
        <f>1!B67</f>
        <v>Строительство ВЛ-0,4 кВ от РУ-0,4кВ ТП-75 (С-1) по ул.Ленина район дома 123, г.Железноводск, L= 0,143 км (СИП-2 3х50+1х54,6)</v>
      </c>
      <c r="C64" s="513" t="str">
        <f>1!C67</f>
        <v>G_Gelezno_ТР14</v>
      </c>
      <c r="D64" s="45">
        <v>2017</v>
      </c>
      <c r="E64" s="45">
        <v>2017</v>
      </c>
      <c r="F64" s="45" t="s">
        <v>368</v>
      </c>
      <c r="G64" s="45" t="s">
        <v>368</v>
      </c>
      <c r="H64" s="45" t="s">
        <v>368</v>
      </c>
      <c r="I64" s="45" t="s">
        <v>368</v>
      </c>
      <c r="J64" s="45" t="s">
        <v>368</v>
      </c>
      <c r="K64" s="279" t="s">
        <v>368</v>
      </c>
      <c r="L64" s="11"/>
      <c r="M64" s="11"/>
      <c r="N64" s="11"/>
      <c r="O64" s="18"/>
      <c r="P64" s="18"/>
      <c r="Q64" s="18"/>
      <c r="R64" s="18"/>
      <c r="S64" s="18"/>
      <c r="T64" s="18"/>
      <c r="U64" s="18"/>
      <c r="V64" s="18"/>
      <c r="W64" s="18"/>
      <c r="X64" s="18"/>
    </row>
    <row r="65" spans="1:24" s="163" customFormat="1" ht="30">
      <c r="A65" s="515" t="str">
        <f>1!A68</f>
        <v>1.4.2.15</v>
      </c>
      <c r="B65" s="355" t="str">
        <f>1!B68</f>
        <v>Строительство ВЛ-0,4кВ от РУ-0,4 кВ ТП-75 (С-2) по ул.Ленина район дома 123, г.Железноводск, L= 0,143 км (СИП-2 3х50+1х54,6)</v>
      </c>
      <c r="C65" s="513" t="str">
        <f>1!C68</f>
        <v>G_Gelezno_ТР15</v>
      </c>
      <c r="D65" s="45">
        <v>2017</v>
      </c>
      <c r="E65" s="45">
        <v>2017</v>
      </c>
      <c r="F65" s="45" t="s">
        <v>368</v>
      </c>
      <c r="G65" s="45" t="s">
        <v>368</v>
      </c>
      <c r="H65" s="45" t="s">
        <v>368</v>
      </c>
      <c r="I65" s="45" t="s">
        <v>368</v>
      </c>
      <c r="J65" s="45" t="s">
        <v>368</v>
      </c>
      <c r="K65" s="279" t="s">
        <v>368</v>
      </c>
      <c r="L65" s="11"/>
      <c r="M65" s="11"/>
      <c r="N65" s="11"/>
      <c r="O65" s="18"/>
      <c r="P65" s="18"/>
      <c r="Q65" s="18"/>
      <c r="R65" s="18"/>
      <c r="S65" s="18"/>
      <c r="T65" s="18"/>
      <c r="U65" s="18"/>
      <c r="V65" s="18"/>
      <c r="W65" s="18"/>
      <c r="X65" s="18"/>
    </row>
    <row r="66" spans="1:24" s="163" customFormat="1" ht="30">
      <c r="A66" s="515" t="str">
        <f>1!A69</f>
        <v>1.4.2.16</v>
      </c>
      <c r="B66" s="355" t="str">
        <f>1!B69</f>
        <v>Строительство КЛ-0,4 кВ от ВРУ-1 до ВРУ-2 в ЖК "Вишнёвый сад" (2-ая очередь), п.Иноземцево, L= 0,04 км (АВБбШв 4х120)</v>
      </c>
      <c r="C66" s="513" t="str">
        <f>1!C69</f>
        <v>G_Gelezno_ТР16</v>
      </c>
      <c r="D66" s="45">
        <v>2017</v>
      </c>
      <c r="E66" s="45">
        <v>2017</v>
      </c>
      <c r="F66" s="45" t="s">
        <v>368</v>
      </c>
      <c r="G66" s="45" t="s">
        <v>368</v>
      </c>
      <c r="H66" s="45" t="s">
        <v>368</v>
      </c>
      <c r="I66" s="45" t="s">
        <v>368</v>
      </c>
      <c r="J66" s="45" t="s">
        <v>368</v>
      </c>
      <c r="K66" s="279" t="s">
        <v>368</v>
      </c>
      <c r="L66" s="11"/>
      <c r="M66" s="11"/>
      <c r="N66" s="11"/>
      <c r="O66" s="18"/>
      <c r="P66" s="18"/>
      <c r="Q66" s="18"/>
      <c r="R66" s="18"/>
      <c r="S66" s="18"/>
      <c r="T66" s="18"/>
      <c r="U66" s="18"/>
      <c r="V66" s="18"/>
      <c r="W66" s="18"/>
      <c r="X66" s="18"/>
    </row>
    <row r="67" spans="1:24" s="163" customFormat="1" ht="30">
      <c r="A67" s="515" t="str">
        <f>1!A70</f>
        <v>1.4.2.17</v>
      </c>
      <c r="B67" s="355" t="str">
        <f>1!B70</f>
        <v>Строительство КЛ-0,4кВ от ВРУ-11 до ВРУ-12 в ЖК"Вишнёвый сад" (2-ая очередь), п.Иноземцево, L= 0,035 км (АВБбШв 4х95)</v>
      </c>
      <c r="C67" s="513" t="str">
        <f>1!C70</f>
        <v>G_Gelezno_ТР17</v>
      </c>
      <c r="D67" s="45">
        <v>2017</v>
      </c>
      <c r="E67" s="45">
        <v>2017</v>
      </c>
      <c r="F67" s="45" t="s">
        <v>368</v>
      </c>
      <c r="G67" s="45" t="s">
        <v>368</v>
      </c>
      <c r="H67" s="45" t="s">
        <v>368</v>
      </c>
      <c r="I67" s="45" t="s">
        <v>368</v>
      </c>
      <c r="J67" s="45" t="s">
        <v>368</v>
      </c>
      <c r="K67" s="279" t="s">
        <v>368</v>
      </c>
      <c r="L67" s="11"/>
      <c r="M67" s="11"/>
      <c r="N67" s="11"/>
      <c r="O67" s="18"/>
      <c r="P67" s="18"/>
      <c r="Q67" s="18"/>
      <c r="R67" s="18"/>
      <c r="S67" s="18"/>
      <c r="T67" s="18"/>
      <c r="U67" s="18"/>
      <c r="V67" s="18"/>
      <c r="W67" s="18"/>
      <c r="X67" s="18"/>
    </row>
    <row r="68" spans="1:24" s="163" customFormat="1" ht="30">
      <c r="A68" s="515" t="str">
        <f>1!A71</f>
        <v>1.4.2.18</v>
      </c>
      <c r="B68" s="355" t="str">
        <f>1!B71</f>
        <v>Строительство КЛ-0,4кВ от ВРУ-13 до ВРУ-14 в ЖК"Вишнёвый сад" (2-ая очередь), п.Иноземцево, L= 0,035 км (АВБбШв 4х95)</v>
      </c>
      <c r="C68" s="513" t="str">
        <f>1!C71</f>
        <v>G_Gelezno_ТР18</v>
      </c>
      <c r="D68" s="45">
        <v>2017</v>
      </c>
      <c r="E68" s="45">
        <v>2017</v>
      </c>
      <c r="F68" s="45" t="s">
        <v>368</v>
      </c>
      <c r="G68" s="45" t="s">
        <v>368</v>
      </c>
      <c r="H68" s="45" t="s">
        <v>368</v>
      </c>
      <c r="I68" s="45" t="s">
        <v>368</v>
      </c>
      <c r="J68" s="45" t="s">
        <v>368</v>
      </c>
      <c r="K68" s="279" t="s">
        <v>368</v>
      </c>
      <c r="L68" s="11"/>
      <c r="M68" s="11"/>
      <c r="N68" s="11"/>
      <c r="O68" s="18"/>
      <c r="P68" s="18"/>
      <c r="Q68" s="18"/>
      <c r="R68" s="18"/>
      <c r="S68" s="18"/>
      <c r="T68" s="18"/>
      <c r="U68" s="18"/>
      <c r="V68" s="18"/>
      <c r="W68" s="18"/>
      <c r="X68" s="18"/>
    </row>
    <row r="69" spans="1:24" s="163" customFormat="1" ht="30">
      <c r="A69" s="515" t="str">
        <f>1!A72</f>
        <v>1.4.2.19</v>
      </c>
      <c r="B69" s="355" t="str">
        <f>1!B72</f>
        <v>Строительство КЛ-0,4 кВ от ВРУ-9 до ВРУ-10 в ЖК "Вишнёвый сад" (2-ая очередь), п.Иноземцево, L= 0,035 км (АВБбШв 4х95)</v>
      </c>
      <c r="C69" s="513" t="str">
        <f>1!C72</f>
        <v>G_Gelezno_ТР19</v>
      </c>
      <c r="D69" s="45">
        <v>2017</v>
      </c>
      <c r="E69" s="45">
        <v>2017</v>
      </c>
      <c r="F69" s="45" t="s">
        <v>368</v>
      </c>
      <c r="G69" s="45" t="s">
        <v>368</v>
      </c>
      <c r="H69" s="45" t="s">
        <v>368</v>
      </c>
      <c r="I69" s="45" t="s">
        <v>368</v>
      </c>
      <c r="J69" s="45" t="s">
        <v>368</v>
      </c>
      <c r="K69" s="279" t="s">
        <v>368</v>
      </c>
      <c r="L69" s="11"/>
      <c r="M69" s="11"/>
      <c r="N69" s="11"/>
      <c r="O69" s="18"/>
      <c r="P69" s="18"/>
      <c r="Q69" s="18"/>
      <c r="R69" s="18"/>
      <c r="S69" s="18"/>
      <c r="T69" s="18"/>
      <c r="U69" s="18"/>
      <c r="V69" s="18"/>
      <c r="W69" s="18"/>
      <c r="X69" s="18"/>
    </row>
    <row r="70" spans="1:24" s="163" customFormat="1" ht="30">
      <c r="A70" s="515" t="str">
        <f>1!A73</f>
        <v>1.4.2.20</v>
      </c>
      <c r="B70" s="355" t="str">
        <f>1!B73</f>
        <v>Строительство КЛ-0,4 кВ от РУ-0,4 кВ 2КТП-244 до ВРУ-10 в ЖК "Вишнёвый сад" (2-ая очередь), п.Иноземцево, L= 0,19 км (АВБбШв 4х120)</v>
      </c>
      <c r="C70" s="513" t="str">
        <f>1!C73</f>
        <v>G_Gelezno_ТР20</v>
      </c>
      <c r="D70" s="45">
        <v>2017</v>
      </c>
      <c r="E70" s="45">
        <v>2017</v>
      </c>
      <c r="F70" s="45" t="s">
        <v>368</v>
      </c>
      <c r="G70" s="45" t="s">
        <v>368</v>
      </c>
      <c r="H70" s="45" t="s">
        <v>368</v>
      </c>
      <c r="I70" s="45" t="s">
        <v>368</v>
      </c>
      <c r="J70" s="45" t="s">
        <v>368</v>
      </c>
      <c r="K70" s="279" t="s">
        <v>368</v>
      </c>
      <c r="L70" s="11"/>
      <c r="M70" s="11"/>
      <c r="N70" s="11"/>
      <c r="O70" s="18"/>
      <c r="P70" s="18"/>
      <c r="Q70" s="18"/>
      <c r="R70" s="18"/>
      <c r="S70" s="18"/>
      <c r="T70" s="18"/>
      <c r="U70" s="18"/>
      <c r="V70" s="18"/>
      <c r="W70" s="18"/>
      <c r="X70" s="18"/>
    </row>
    <row r="71" spans="1:24" s="163" customFormat="1" ht="30">
      <c r="A71" s="515" t="str">
        <f>1!A74</f>
        <v>1.4.2.21</v>
      </c>
      <c r="B71" s="355" t="str">
        <f>1!B74</f>
        <v>Строительство КЛ-0,4 кВ от РУ-0,4 кВ 2КТП-244 до ВРУ-11 в ЖК "Вишнёвый сад" (2-ая очередь), п.Иноземцево, L= 0,14 км (АВБбШв 4х95)</v>
      </c>
      <c r="C71" s="513" t="str">
        <f>1!C74</f>
        <v>G_Gelezno_ТР21</v>
      </c>
      <c r="D71" s="45">
        <v>2017</v>
      </c>
      <c r="E71" s="45">
        <v>2017</v>
      </c>
      <c r="F71" s="45" t="s">
        <v>368</v>
      </c>
      <c r="G71" s="45" t="s">
        <v>368</v>
      </c>
      <c r="H71" s="45" t="s">
        <v>368</v>
      </c>
      <c r="I71" s="45" t="s">
        <v>368</v>
      </c>
      <c r="J71" s="45" t="s">
        <v>368</v>
      </c>
      <c r="K71" s="279" t="s">
        <v>368</v>
      </c>
      <c r="L71" s="11"/>
      <c r="M71" s="11"/>
      <c r="N71" s="11"/>
      <c r="O71" s="18"/>
      <c r="P71" s="18"/>
      <c r="Q71" s="18"/>
      <c r="R71" s="18"/>
      <c r="S71" s="18"/>
      <c r="T71" s="18"/>
      <c r="U71" s="18"/>
      <c r="V71" s="18"/>
      <c r="W71" s="18"/>
      <c r="X71" s="18"/>
    </row>
    <row r="72" spans="1:24" s="163" customFormat="1" ht="30">
      <c r="A72" s="515" t="str">
        <f>1!A75</f>
        <v>1.4.2.22</v>
      </c>
      <c r="B72" s="355" t="str">
        <f>1!B75</f>
        <v>Строительство КЛ-0,4 кВ от РУ-0,4 кВ 2КТП-244 до ВРУ-13 в ЖК "Вишнёвый сад" (2-ая очередь), п.Иноземцево, L= 0,06 км (АВБбШв 4х120)</v>
      </c>
      <c r="C72" s="513" t="str">
        <f>1!C75</f>
        <v>G_Gelezno_ТР22</v>
      </c>
      <c r="D72" s="45">
        <v>2017</v>
      </c>
      <c r="E72" s="45">
        <v>2017</v>
      </c>
      <c r="F72" s="45" t="s">
        <v>368</v>
      </c>
      <c r="G72" s="45" t="s">
        <v>368</v>
      </c>
      <c r="H72" s="45" t="s">
        <v>368</v>
      </c>
      <c r="I72" s="45" t="s">
        <v>368</v>
      </c>
      <c r="J72" s="45" t="s">
        <v>368</v>
      </c>
      <c r="K72" s="279" t="s">
        <v>368</v>
      </c>
      <c r="L72" s="11"/>
      <c r="M72" s="11"/>
      <c r="N72" s="11"/>
      <c r="O72" s="18"/>
      <c r="P72" s="18"/>
      <c r="Q72" s="18"/>
      <c r="R72" s="18"/>
      <c r="S72" s="18"/>
      <c r="T72" s="18"/>
      <c r="U72" s="18"/>
      <c r="V72" s="18"/>
      <c r="W72" s="18"/>
      <c r="X72" s="18"/>
    </row>
    <row r="73" spans="1:24" s="163" customFormat="1" ht="30">
      <c r="A73" s="515" t="str">
        <f>1!A76</f>
        <v>1.4.2.23</v>
      </c>
      <c r="B73" s="355" t="str">
        <f>1!B76</f>
        <v>Строительство КЛ-0,4 кВ от РУ-0,4 кВ 2КТП-244 до ВРУ-14 в ЖК "Вишнёвый сад" (2-ая очередь), п.Иноземцево, L= 0,1 км (АВБбШв 4х120)</v>
      </c>
      <c r="C73" s="513" t="str">
        <f>1!C76</f>
        <v>G_Gelezno_ТР23</v>
      </c>
      <c r="D73" s="45">
        <v>2017</v>
      </c>
      <c r="E73" s="45">
        <v>2017</v>
      </c>
      <c r="F73" s="45" t="s">
        <v>368</v>
      </c>
      <c r="G73" s="45" t="s">
        <v>368</v>
      </c>
      <c r="H73" s="45" t="s">
        <v>368</v>
      </c>
      <c r="I73" s="45" t="s">
        <v>368</v>
      </c>
      <c r="J73" s="45" t="s">
        <v>368</v>
      </c>
      <c r="K73" s="279" t="s">
        <v>368</v>
      </c>
      <c r="L73" s="11"/>
      <c r="M73" s="11"/>
      <c r="N73" s="11"/>
      <c r="O73" s="18"/>
      <c r="P73" s="18"/>
      <c r="Q73" s="18"/>
      <c r="R73" s="18"/>
      <c r="S73" s="18"/>
      <c r="T73" s="18"/>
      <c r="U73" s="18"/>
      <c r="V73" s="18"/>
      <c r="W73" s="18"/>
      <c r="X73" s="18"/>
    </row>
    <row r="74" spans="1:24" s="163" customFormat="1" ht="30">
      <c r="A74" s="515" t="str">
        <f>1!A77</f>
        <v>1.4.2.24</v>
      </c>
      <c r="B74" s="355" t="str">
        <f>1!B77</f>
        <v>Строительство КЛ-0,4 кВ от РУ-0,4 кВ 2КТП-244 до ВРУ-16 в ЖК "Вишнёвый сад" (2-ая очередь), п.Иноземцево, L= 0,11 км (АВБбШв 4х95)</v>
      </c>
      <c r="C74" s="513" t="str">
        <f>1!C77</f>
        <v>G_Gelezno_ТР24</v>
      </c>
      <c r="D74" s="45">
        <v>2017</v>
      </c>
      <c r="E74" s="45">
        <v>2017</v>
      </c>
      <c r="F74" s="45" t="s">
        <v>368</v>
      </c>
      <c r="G74" s="45" t="s">
        <v>368</v>
      </c>
      <c r="H74" s="45" t="s">
        <v>368</v>
      </c>
      <c r="I74" s="45" t="s">
        <v>368</v>
      </c>
      <c r="J74" s="45" t="s">
        <v>368</v>
      </c>
      <c r="K74" s="279" t="s">
        <v>368</v>
      </c>
      <c r="L74" s="11"/>
      <c r="M74" s="11"/>
      <c r="N74" s="11"/>
      <c r="O74" s="18"/>
      <c r="P74" s="18"/>
      <c r="Q74" s="18"/>
      <c r="R74" s="18"/>
      <c r="S74" s="18"/>
      <c r="T74" s="18"/>
      <c r="U74" s="18"/>
      <c r="V74" s="18"/>
      <c r="W74" s="18"/>
      <c r="X74" s="18"/>
    </row>
    <row r="75" spans="1:24" s="163" customFormat="1" ht="30">
      <c r="A75" s="515" t="str">
        <f>1!A78</f>
        <v>1.4.2.25</v>
      </c>
      <c r="B75" s="355" t="str">
        <f>1!B78</f>
        <v>Строительство КЛ-0,4 кВ от РУ-0,4 кВ 2КТП-244 до ВРУ-9 в ЖК "Вишнёвый сад" (2-ая очередь), п.Иноземцево, L= 0,215 км (АВБбШв 4х120)</v>
      </c>
      <c r="C75" s="513" t="str">
        <f>1!C78</f>
        <v>G_Gelezno_ТР25</v>
      </c>
      <c r="D75" s="45">
        <v>2017</v>
      </c>
      <c r="E75" s="45">
        <v>2017</v>
      </c>
      <c r="F75" s="45" t="s">
        <v>368</v>
      </c>
      <c r="G75" s="45" t="s">
        <v>368</v>
      </c>
      <c r="H75" s="45" t="s">
        <v>368</v>
      </c>
      <c r="I75" s="45" t="s">
        <v>368</v>
      </c>
      <c r="J75" s="45" t="s">
        <v>368</v>
      </c>
      <c r="K75" s="279" t="s">
        <v>368</v>
      </c>
      <c r="L75" s="11"/>
      <c r="M75" s="11"/>
      <c r="N75" s="11"/>
      <c r="O75" s="18"/>
      <c r="P75" s="18"/>
      <c r="Q75" s="18"/>
      <c r="R75" s="18"/>
      <c r="S75" s="18"/>
      <c r="T75" s="18"/>
      <c r="U75" s="18"/>
      <c r="V75" s="18"/>
      <c r="W75" s="18"/>
      <c r="X75" s="18"/>
    </row>
    <row r="76" spans="1:24" s="163" customFormat="1" ht="30">
      <c r="A76" s="515" t="str">
        <f>1!A79</f>
        <v>1.4.2.26</v>
      </c>
      <c r="B76" s="355" t="str">
        <f>1!B79</f>
        <v>Строительство КЛ-0,4 кВ от ВРУ-1 МКЖД до ВРУ-2 МКЖД ул.Тихая,8, п.Иноземцево, L= 0,071 км (АВВГ 4х35)</v>
      </c>
      <c r="C76" s="513" t="str">
        <f>1!C79</f>
        <v>G_Gelezno_ТР26</v>
      </c>
      <c r="D76" s="45">
        <v>2017</v>
      </c>
      <c r="E76" s="45">
        <v>2017</v>
      </c>
      <c r="F76" s="45" t="s">
        <v>368</v>
      </c>
      <c r="G76" s="45" t="s">
        <v>368</v>
      </c>
      <c r="H76" s="45" t="s">
        <v>368</v>
      </c>
      <c r="I76" s="45" t="s">
        <v>368</v>
      </c>
      <c r="J76" s="45" t="s">
        <v>368</v>
      </c>
      <c r="K76" s="279" t="s">
        <v>368</v>
      </c>
      <c r="L76" s="11"/>
      <c r="M76" s="11"/>
      <c r="N76" s="11"/>
      <c r="O76" s="18"/>
      <c r="P76" s="18"/>
      <c r="Q76" s="18"/>
      <c r="R76" s="18"/>
      <c r="S76" s="18"/>
      <c r="T76" s="18"/>
      <c r="U76" s="18"/>
      <c r="V76" s="18"/>
      <c r="W76" s="18"/>
      <c r="X76" s="18"/>
    </row>
    <row r="77" spans="1:24" s="163" customFormat="1" ht="30">
      <c r="A77" s="515" t="str">
        <f>1!A80</f>
        <v>1.4.2.27</v>
      </c>
      <c r="B77" s="355" t="str">
        <f>1!B80</f>
        <v>Строительство КЛ-0,4 кВ от ВРУ-2 МКЖД до ВРУ-3 МКЖД ул.Тихая,8, п.Иноземцево, L= 0,025 км (АВВГ 4х35)</v>
      </c>
      <c r="C77" s="513" t="str">
        <f>1!C80</f>
        <v>G_Gelezno_ТР27</v>
      </c>
      <c r="D77" s="45">
        <v>2017</v>
      </c>
      <c r="E77" s="45">
        <v>2017</v>
      </c>
      <c r="F77" s="45" t="s">
        <v>368</v>
      </c>
      <c r="G77" s="45" t="s">
        <v>368</v>
      </c>
      <c r="H77" s="45" t="s">
        <v>368</v>
      </c>
      <c r="I77" s="45" t="s">
        <v>368</v>
      </c>
      <c r="J77" s="45" t="s">
        <v>368</v>
      </c>
      <c r="K77" s="279" t="s">
        <v>368</v>
      </c>
      <c r="L77" s="11"/>
      <c r="M77" s="11"/>
      <c r="N77" s="11"/>
      <c r="O77" s="18"/>
      <c r="P77" s="18"/>
      <c r="Q77" s="18"/>
      <c r="R77" s="18"/>
      <c r="S77" s="18"/>
      <c r="T77" s="18"/>
      <c r="U77" s="18"/>
      <c r="V77" s="18"/>
      <c r="W77" s="18"/>
      <c r="X77" s="18"/>
    </row>
    <row r="78" spans="1:24" s="163" customFormat="1" ht="30">
      <c r="A78" s="515" t="str">
        <f>1!A81</f>
        <v>1.4.2.28</v>
      </c>
      <c r="B78" s="355" t="str">
        <f>1!B81</f>
        <v>Строительство КЛ-0,4 кВ от ВРУ-3 МКЖД до РУ-0,4 кВ КТП-248 ул.Тихая,8, п.Иноземцево, L= 0,107 км (АВВГ 4х35)</v>
      </c>
      <c r="C78" s="513" t="str">
        <f>1!C81</f>
        <v>G_Gelezno_ТР28</v>
      </c>
      <c r="D78" s="45">
        <v>2017</v>
      </c>
      <c r="E78" s="45">
        <v>2017</v>
      </c>
      <c r="F78" s="45" t="s">
        <v>368</v>
      </c>
      <c r="G78" s="45" t="s">
        <v>368</v>
      </c>
      <c r="H78" s="45" t="s">
        <v>368</v>
      </c>
      <c r="I78" s="45" t="s">
        <v>368</v>
      </c>
      <c r="J78" s="45" t="s">
        <v>368</v>
      </c>
      <c r="K78" s="279" t="s">
        <v>368</v>
      </c>
      <c r="L78" s="11"/>
      <c r="M78" s="11"/>
      <c r="N78" s="11"/>
      <c r="O78" s="18"/>
      <c r="P78" s="18"/>
      <c r="Q78" s="18"/>
      <c r="R78" s="18"/>
      <c r="S78" s="18"/>
      <c r="T78" s="18"/>
      <c r="U78" s="18"/>
      <c r="V78" s="18"/>
      <c r="W78" s="18"/>
      <c r="X78" s="18"/>
    </row>
    <row r="79" spans="1:24" s="163" customFormat="1" ht="30">
      <c r="A79" s="515" t="str">
        <f>1!A82</f>
        <v>1.4.2.29</v>
      </c>
      <c r="B79" s="355" t="str">
        <f>1!B82</f>
        <v>Строительство КЛ-0,4 кВ от РУ-0,4 кВ КТП-248 до ВРУ-1 МКЖД ул.Тихая,8, п.Иноземцево, L= 0,102 км (АВВГ 4х35)</v>
      </c>
      <c r="C79" s="513" t="str">
        <f>1!C82</f>
        <v>G_Gelezno_ТР29</v>
      </c>
      <c r="D79" s="45">
        <v>2017</v>
      </c>
      <c r="E79" s="45">
        <v>2017</v>
      </c>
      <c r="F79" s="45" t="s">
        <v>368</v>
      </c>
      <c r="G79" s="45" t="s">
        <v>368</v>
      </c>
      <c r="H79" s="45" t="s">
        <v>368</v>
      </c>
      <c r="I79" s="45" t="s">
        <v>368</v>
      </c>
      <c r="J79" s="45" t="s">
        <v>368</v>
      </c>
      <c r="K79" s="279" t="s">
        <v>368</v>
      </c>
      <c r="L79" s="11"/>
      <c r="M79" s="11"/>
      <c r="N79" s="11"/>
      <c r="O79" s="18"/>
      <c r="P79" s="18"/>
      <c r="Q79" s="18"/>
      <c r="R79" s="18"/>
      <c r="S79" s="18"/>
      <c r="T79" s="18"/>
      <c r="U79" s="18"/>
      <c r="V79" s="18"/>
      <c r="W79" s="18"/>
      <c r="X79" s="18"/>
    </row>
    <row r="80" spans="1:24" s="163" customFormat="1" ht="30">
      <c r="A80" s="515" t="str">
        <f>1!A83</f>
        <v>1.4.2.30</v>
      </c>
      <c r="B80" s="355" t="str">
        <f>1!B83</f>
        <v>Строительство КЛ-0,4 кВ от РУ-0,4 кВ КТП-105 до РЩ МКЖД ул.Октябрьская,96 Б, г.Железноводск, L= 0,186 км (АВБбШВ 4х95)</v>
      </c>
      <c r="C80" s="513" t="str">
        <f>1!C83</f>
        <v>G_Gelezno_ТР30</v>
      </c>
      <c r="D80" s="45">
        <v>2017</v>
      </c>
      <c r="E80" s="45">
        <v>2017</v>
      </c>
      <c r="F80" s="45" t="s">
        <v>368</v>
      </c>
      <c r="G80" s="45" t="s">
        <v>368</v>
      </c>
      <c r="H80" s="45" t="s">
        <v>368</v>
      </c>
      <c r="I80" s="45" t="s">
        <v>368</v>
      </c>
      <c r="J80" s="45" t="s">
        <v>368</v>
      </c>
      <c r="K80" s="279" t="s">
        <v>368</v>
      </c>
      <c r="L80" s="11"/>
      <c r="M80" s="11"/>
      <c r="N80" s="11"/>
      <c r="O80" s="18"/>
      <c r="P80" s="18"/>
      <c r="Q80" s="18"/>
      <c r="R80" s="18"/>
      <c r="S80" s="18"/>
      <c r="T80" s="18"/>
      <c r="U80" s="18"/>
      <c r="V80" s="18"/>
      <c r="W80" s="18"/>
      <c r="X80" s="18"/>
    </row>
    <row r="81" spans="1:24" s="163" customFormat="1" ht="30">
      <c r="A81" s="515" t="str">
        <f>1!A84</f>
        <v>1.4.2.31</v>
      </c>
      <c r="B81" s="355" t="str">
        <f>1!B84</f>
        <v>Строительство КЛ-0,4 кВ от ВРУ-12 до ВРУ-2 в ЖК "Вишнёвый сад" (2-ая очередь), п.Иноземцево, L= 0,1 км (АВБбШВ 4х150)</v>
      </c>
      <c r="C81" s="513" t="str">
        <f>1!C84</f>
        <v>G_Gelezno_ТР31</v>
      </c>
      <c r="D81" s="45">
        <v>2017</v>
      </c>
      <c r="E81" s="45">
        <v>2017</v>
      </c>
      <c r="F81" s="45" t="s">
        <v>368</v>
      </c>
      <c r="G81" s="45" t="s">
        <v>368</v>
      </c>
      <c r="H81" s="45" t="s">
        <v>368</v>
      </c>
      <c r="I81" s="45" t="s">
        <v>368</v>
      </c>
      <c r="J81" s="45" t="s">
        <v>368</v>
      </c>
      <c r="K81" s="279" t="s">
        <v>368</v>
      </c>
      <c r="L81" s="11"/>
      <c r="M81" s="11"/>
      <c r="N81" s="11"/>
      <c r="O81" s="18"/>
      <c r="P81" s="18"/>
      <c r="Q81" s="18"/>
      <c r="R81" s="18"/>
      <c r="S81" s="18"/>
      <c r="T81" s="18"/>
      <c r="U81" s="18"/>
      <c r="V81" s="18"/>
      <c r="W81" s="18"/>
      <c r="X81" s="18"/>
    </row>
    <row r="82" spans="1:24" s="163" customFormat="1" ht="30">
      <c r="A82" s="515" t="str">
        <f>1!A85</f>
        <v>1.4.2.32</v>
      </c>
      <c r="B82" s="355" t="str">
        <f>1!B85</f>
        <v>Строительство КЛ-0,4кВ от ВРУ-16 до ВРУ-10 в ЖК"Вишнёвый сад" (2-ая очередь), п.Иноземцево, L= 0,035 км (АВБбШВ 4х95)</v>
      </c>
      <c r="C82" s="513" t="str">
        <f>1!C85</f>
        <v>G_Gelezno_ТР32</v>
      </c>
      <c r="D82" s="45">
        <v>2017</v>
      </c>
      <c r="E82" s="45">
        <v>2017</v>
      </c>
      <c r="F82" s="45" t="s">
        <v>368</v>
      </c>
      <c r="G82" s="45" t="s">
        <v>368</v>
      </c>
      <c r="H82" s="45" t="s">
        <v>368</v>
      </c>
      <c r="I82" s="45" t="s">
        <v>368</v>
      </c>
      <c r="J82" s="45" t="s">
        <v>368</v>
      </c>
      <c r="K82" s="279" t="s">
        <v>368</v>
      </c>
      <c r="L82" s="11"/>
      <c r="M82" s="11"/>
      <c r="N82" s="11"/>
      <c r="O82" s="18"/>
      <c r="P82" s="18"/>
      <c r="Q82" s="18"/>
      <c r="R82" s="18"/>
      <c r="S82" s="18"/>
      <c r="T82" s="18"/>
      <c r="U82" s="18"/>
      <c r="V82" s="18"/>
      <c r="W82" s="18"/>
      <c r="X82" s="18"/>
    </row>
    <row r="83" spans="1:24" s="163" customFormat="1" ht="30">
      <c r="A83" s="515" t="str">
        <f>1!A86</f>
        <v>1.4.2.33</v>
      </c>
      <c r="B83" s="355" t="str">
        <f>1!B86</f>
        <v>Строительство КЛ-0,4 кВ от опоры ВЛ-0,4 кВ № 21 до ВРУ-1 в ЖК "Вишнёвый сад" (2-ая очередь), п.Иноземцево, L= 0,05 км (АВБбШВ 4х120)</v>
      </c>
      <c r="C83" s="513" t="str">
        <f>1!C86</f>
        <v>G_Gelezno_ТР33</v>
      </c>
      <c r="D83" s="45">
        <v>2017</v>
      </c>
      <c r="E83" s="45">
        <v>2017</v>
      </c>
      <c r="F83" s="45" t="s">
        <v>368</v>
      </c>
      <c r="G83" s="45" t="s">
        <v>368</v>
      </c>
      <c r="H83" s="45" t="s">
        <v>368</v>
      </c>
      <c r="I83" s="45" t="s">
        <v>368</v>
      </c>
      <c r="J83" s="45" t="s">
        <v>368</v>
      </c>
      <c r="K83" s="279" t="s">
        <v>368</v>
      </c>
      <c r="L83" s="11"/>
      <c r="M83" s="11"/>
      <c r="N83" s="11"/>
      <c r="O83" s="18"/>
      <c r="P83" s="18"/>
      <c r="Q83" s="18"/>
      <c r="R83" s="18"/>
      <c r="S83" s="18"/>
      <c r="T83" s="18"/>
      <c r="U83" s="18"/>
      <c r="V83" s="18"/>
      <c r="W83" s="18"/>
      <c r="X83" s="18"/>
    </row>
    <row r="84" spans="1:24" s="163" customFormat="1" ht="30">
      <c r="A84" s="515" t="str">
        <f>1!A87</f>
        <v>1.4.2.34</v>
      </c>
      <c r="B84" s="355" t="str">
        <f>1!B87</f>
        <v>Строительство КЛ-0,4 кВ от РУ-0,4 кВ 2КТП-244 до ВРУ-12 в ЖК "Вишнёвый сад" (2-ая очередь), п.Иноземцево, L= 0,17 км (АВБбШВ 4х185) км</v>
      </c>
      <c r="C84" s="513" t="str">
        <f>1!C87</f>
        <v>G_Gelezno_ТР34</v>
      </c>
      <c r="D84" s="45">
        <v>2017</v>
      </c>
      <c r="E84" s="45">
        <v>2017</v>
      </c>
      <c r="F84" s="45" t="s">
        <v>368</v>
      </c>
      <c r="G84" s="45" t="s">
        <v>368</v>
      </c>
      <c r="H84" s="45" t="s">
        <v>368</v>
      </c>
      <c r="I84" s="45" t="s">
        <v>368</v>
      </c>
      <c r="J84" s="45" t="s">
        <v>368</v>
      </c>
      <c r="K84" s="279" t="s">
        <v>368</v>
      </c>
      <c r="L84" s="11"/>
      <c r="M84" s="11"/>
      <c r="N84" s="11"/>
      <c r="O84" s="18"/>
      <c r="P84" s="18"/>
      <c r="Q84" s="18"/>
      <c r="R84" s="18"/>
      <c r="S84" s="18"/>
      <c r="T84" s="18"/>
      <c r="U84" s="18"/>
      <c r="V84" s="18"/>
      <c r="W84" s="18"/>
      <c r="X84" s="18"/>
    </row>
    <row r="85" spans="1:24" s="163" customFormat="1" ht="30">
      <c r="A85" s="515" t="str">
        <f>1!A88</f>
        <v>1.4.2.35</v>
      </c>
      <c r="B85" s="355" t="str">
        <f>1!B88</f>
        <v>Строительство КЛ-0,4 кВ от РУ-0,4 кВ 2КТП-244 до ВРУ-15 в ЖК "Вишнёвый сад" (2-ая очередь), п.Иноземцево, L= 0,08 км (АВБбШВ 4х95)</v>
      </c>
      <c r="C85" s="513" t="str">
        <f>1!C88</f>
        <v>G_Gelezno_ТР35</v>
      </c>
      <c r="D85" s="45">
        <v>2017</v>
      </c>
      <c r="E85" s="45">
        <v>2017</v>
      </c>
      <c r="F85" s="45" t="s">
        <v>368</v>
      </c>
      <c r="G85" s="45" t="s">
        <v>368</v>
      </c>
      <c r="H85" s="45" t="s">
        <v>368</v>
      </c>
      <c r="I85" s="45" t="s">
        <v>368</v>
      </c>
      <c r="J85" s="45" t="s">
        <v>368</v>
      </c>
      <c r="K85" s="279" t="s">
        <v>368</v>
      </c>
      <c r="L85" s="11"/>
      <c r="M85" s="11"/>
      <c r="N85" s="11"/>
      <c r="O85" s="18"/>
      <c r="P85" s="18"/>
      <c r="Q85" s="18"/>
      <c r="R85" s="18"/>
      <c r="S85" s="18"/>
      <c r="T85" s="18"/>
      <c r="U85" s="18"/>
      <c r="V85" s="18"/>
      <c r="W85" s="18"/>
      <c r="X85" s="18"/>
    </row>
    <row r="86" spans="1:24" s="163" customFormat="1" ht="30">
      <c r="A86" s="515" t="str">
        <f>1!A89</f>
        <v>1.4.2.36</v>
      </c>
      <c r="B86" s="355" t="str">
        <f>1!B89</f>
        <v>Строительство ВЛ-0,4 кВ от РУ-0,4 кВ КТП-241 ЖК "Вишнёвый сад" (2-ая очередь), п.Иноземцево, СИП-2 3х150+1х95 - 0,204 км СИП-2 3х120+1х95 - 0,275 км и СИП-2 3х95+1х70 - 0,408 км</v>
      </c>
      <c r="C86" s="513" t="str">
        <f>1!C89</f>
        <v>G_Gelezno_ТР36</v>
      </c>
      <c r="D86" s="45">
        <v>2017</v>
      </c>
      <c r="E86" s="45">
        <v>2017</v>
      </c>
      <c r="F86" s="45" t="s">
        <v>368</v>
      </c>
      <c r="G86" s="45" t="s">
        <v>368</v>
      </c>
      <c r="H86" s="45" t="s">
        <v>368</v>
      </c>
      <c r="I86" s="45" t="s">
        <v>368</v>
      </c>
      <c r="J86" s="45" t="s">
        <v>368</v>
      </c>
      <c r="K86" s="279" t="s">
        <v>368</v>
      </c>
      <c r="L86" s="11"/>
      <c r="M86" s="11"/>
      <c r="N86" s="11"/>
      <c r="O86" s="18"/>
      <c r="P86" s="18"/>
      <c r="Q86" s="18"/>
      <c r="R86" s="18"/>
      <c r="S86" s="18"/>
      <c r="T86" s="18"/>
      <c r="U86" s="18"/>
      <c r="V86" s="18"/>
      <c r="W86" s="18"/>
      <c r="X86" s="18"/>
    </row>
    <row r="87" spans="1:24" s="163" customFormat="1" ht="15">
      <c r="A87" s="515" t="str">
        <f>1!A90</f>
        <v>1.4.2.37</v>
      </c>
      <c r="B87" s="355" t="str">
        <f>1!B90</f>
        <v>Строительство КТП-249 пер.Промышленный,24, п.Иноземцево (ТМГ-630 кВА)(Линия 2), L=0,143 км</v>
      </c>
      <c r="C87" s="513" t="str">
        <f>1!C90</f>
        <v>G_Gelezno_ТР37</v>
      </c>
      <c r="D87" s="45">
        <v>2017</v>
      </c>
      <c r="E87" s="45">
        <v>2017</v>
      </c>
      <c r="F87" s="45" t="s">
        <v>368</v>
      </c>
      <c r="G87" s="45" t="s">
        <v>368</v>
      </c>
      <c r="H87" s="45" t="s">
        <v>368</v>
      </c>
      <c r="I87" s="45" t="s">
        <v>368</v>
      </c>
      <c r="J87" s="45" t="s">
        <v>368</v>
      </c>
      <c r="K87" s="279" t="s">
        <v>368</v>
      </c>
      <c r="L87" s="11"/>
      <c r="M87" s="11"/>
      <c r="N87" s="11"/>
      <c r="O87" s="18"/>
      <c r="P87" s="18"/>
      <c r="Q87" s="18"/>
      <c r="R87" s="18"/>
      <c r="S87" s="18"/>
      <c r="T87" s="18"/>
      <c r="U87" s="18"/>
      <c r="V87" s="18"/>
      <c r="W87" s="18"/>
      <c r="X87" s="18"/>
    </row>
    <row r="88" spans="1:24" s="163" customFormat="1" ht="10.5" customHeight="1" thickBot="1">
      <c r="A88" s="283"/>
      <c r="B88" s="284"/>
      <c r="C88" s="285"/>
      <c r="D88" s="286"/>
      <c r="E88" s="286"/>
      <c r="F88" s="286"/>
      <c r="G88" s="286"/>
      <c r="H88" s="286"/>
      <c r="I88" s="286"/>
      <c r="J88" s="286"/>
      <c r="K88" s="287"/>
      <c r="L88" s="11"/>
      <c r="M88" s="11"/>
      <c r="N88" s="11"/>
      <c r="O88" s="18"/>
      <c r="P88" s="18"/>
      <c r="Q88" s="18"/>
      <c r="R88" s="18"/>
      <c r="S88" s="18"/>
      <c r="T88" s="18"/>
      <c r="U88" s="18"/>
      <c r="V88" s="18"/>
      <c r="W88" s="18"/>
      <c r="X88" s="18"/>
    </row>
    <row r="89" spans="1:24" s="163" customFormat="1" ht="10.5" customHeight="1">
      <c r="A89" s="273"/>
      <c r="B89" s="274"/>
      <c r="C89" s="273"/>
      <c r="D89" s="275"/>
      <c r="E89" s="275"/>
      <c r="F89" s="275"/>
      <c r="G89" s="275"/>
      <c r="H89" s="275"/>
      <c r="I89" s="275"/>
      <c r="J89" s="275"/>
      <c r="K89" s="275"/>
      <c r="L89" s="11"/>
      <c r="M89" s="11"/>
      <c r="N89" s="11"/>
      <c r="O89" s="18"/>
      <c r="P89" s="18"/>
      <c r="Q89" s="18"/>
      <c r="R89" s="18"/>
      <c r="S89" s="18"/>
      <c r="T89" s="18"/>
      <c r="U89" s="18"/>
      <c r="V89" s="18"/>
      <c r="W89" s="18"/>
      <c r="X89" s="18"/>
    </row>
    <row r="90" spans="1:24" s="163" customFormat="1" ht="15">
      <c r="A90" s="273"/>
      <c r="B90" s="274"/>
      <c r="C90" s="273"/>
      <c r="D90" s="275"/>
      <c r="E90" s="275"/>
      <c r="F90" s="275"/>
      <c r="G90" s="275"/>
      <c r="H90" s="275"/>
      <c r="I90" s="275"/>
      <c r="J90" s="275"/>
      <c r="K90" s="275"/>
      <c r="L90" s="11"/>
      <c r="M90" s="11"/>
      <c r="N90" s="11"/>
      <c r="O90" s="18"/>
      <c r="P90" s="18"/>
      <c r="Q90" s="18"/>
      <c r="R90" s="18"/>
      <c r="S90" s="18"/>
      <c r="T90" s="18"/>
      <c r="U90" s="18"/>
      <c r="V90" s="18"/>
      <c r="W90" s="18"/>
      <c r="X90" s="18"/>
    </row>
    <row r="91" spans="1:24" s="163" customFormat="1" ht="15">
      <c r="A91" s="273"/>
      <c r="B91" s="274"/>
      <c r="C91" s="273"/>
      <c r="D91" s="275"/>
      <c r="E91" s="275"/>
      <c r="F91" s="275"/>
      <c r="G91" s="275"/>
      <c r="H91" s="275"/>
      <c r="I91" s="275"/>
      <c r="J91" s="275"/>
      <c r="K91" s="275"/>
      <c r="L91" s="11"/>
      <c r="M91" s="11"/>
      <c r="N91" s="11"/>
      <c r="O91" s="18"/>
      <c r="P91" s="18"/>
      <c r="Q91" s="18"/>
      <c r="R91" s="18"/>
      <c r="S91" s="18"/>
      <c r="T91" s="18"/>
      <c r="U91" s="18"/>
      <c r="V91" s="18"/>
      <c r="W91" s="18"/>
      <c r="X91" s="18"/>
    </row>
    <row r="92" spans="1:24" s="163" customFormat="1" ht="15" customHeight="1">
      <c r="A92" s="273"/>
      <c r="B92" s="274"/>
      <c r="C92" s="273"/>
      <c r="D92" s="275"/>
      <c r="E92" s="275"/>
      <c r="F92" s="275"/>
      <c r="G92" s="275"/>
      <c r="H92" s="275"/>
      <c r="I92" s="275"/>
      <c r="J92" s="275"/>
      <c r="K92" s="275"/>
      <c r="L92" s="11"/>
      <c r="M92" s="11"/>
      <c r="N92" s="11"/>
      <c r="O92" s="18"/>
      <c r="P92" s="18"/>
      <c r="Q92" s="18"/>
      <c r="R92" s="18"/>
      <c r="S92" s="18"/>
      <c r="T92" s="18"/>
      <c r="U92" s="18"/>
      <c r="V92" s="18"/>
      <c r="W92" s="18"/>
      <c r="X92" s="18"/>
    </row>
    <row r="93" spans="1:24" s="163" customFormat="1" ht="15" customHeight="1">
      <c r="A93" s="273"/>
      <c r="B93" s="274"/>
      <c r="C93" s="273"/>
      <c r="D93" s="275"/>
      <c r="E93" s="275"/>
      <c r="F93" s="275"/>
      <c r="G93" s="275"/>
      <c r="H93" s="275"/>
      <c r="I93" s="275"/>
      <c r="J93" s="275"/>
      <c r="K93" s="275"/>
      <c r="L93" s="11"/>
      <c r="M93" s="11"/>
      <c r="N93" s="11"/>
      <c r="O93" s="18"/>
      <c r="P93" s="18"/>
      <c r="Q93" s="18"/>
      <c r="R93" s="18"/>
      <c r="S93" s="18"/>
      <c r="T93" s="18"/>
      <c r="U93" s="18"/>
      <c r="V93" s="18"/>
      <c r="W93" s="18"/>
      <c r="X93" s="18"/>
    </row>
    <row r="94" spans="1:24" s="163" customFormat="1" ht="15" customHeight="1">
      <c r="A94" s="273"/>
      <c r="B94" s="274"/>
      <c r="C94" s="273"/>
      <c r="D94" s="275"/>
      <c r="E94" s="275"/>
      <c r="F94" s="275"/>
      <c r="G94" s="275"/>
      <c r="H94" s="275"/>
      <c r="I94" s="275"/>
      <c r="J94" s="275"/>
      <c r="K94" s="275"/>
      <c r="L94" s="11"/>
      <c r="M94" s="11"/>
      <c r="N94" s="11"/>
      <c r="O94" s="18"/>
      <c r="P94" s="18"/>
      <c r="Q94" s="18"/>
      <c r="R94" s="18"/>
      <c r="S94" s="18"/>
      <c r="T94" s="18"/>
      <c r="U94" s="18"/>
      <c r="V94" s="18"/>
      <c r="W94" s="18"/>
      <c r="X94" s="18"/>
    </row>
    <row r="95" spans="1:24" s="10" customFormat="1" ht="15" customHeight="1">
      <c r="A95" s="273"/>
      <c r="B95" s="274" t="s">
        <v>595</v>
      </c>
      <c r="C95" s="273"/>
      <c r="D95" s="275"/>
      <c r="E95" s="275"/>
      <c r="F95" s="275"/>
      <c r="G95" s="275"/>
      <c r="H95" s="275"/>
      <c r="I95" s="275"/>
      <c r="J95" s="275"/>
      <c r="K95" s="275"/>
      <c r="L95" s="8"/>
      <c r="M95" s="8"/>
      <c r="N95" s="8"/>
      <c r="O95" s="7"/>
      <c r="P95" s="7"/>
      <c r="Q95" s="7"/>
      <c r="R95" s="7"/>
      <c r="S95" s="7"/>
      <c r="T95" s="7"/>
      <c r="U95" s="7"/>
      <c r="V95" s="7"/>
      <c r="W95" s="7"/>
      <c r="X95" s="7"/>
    </row>
  </sheetData>
  <sheetProtection/>
  <mergeCells count="13">
    <mergeCell ref="B18:B19"/>
    <mergeCell ref="A18:A19"/>
    <mergeCell ref="E18:E19"/>
    <mergeCell ref="A12:K12"/>
    <mergeCell ref="A13:K13"/>
    <mergeCell ref="A14:K14"/>
    <mergeCell ref="A16:K16"/>
    <mergeCell ref="J18:K18"/>
    <mergeCell ref="G18:H18"/>
    <mergeCell ref="F18:F19"/>
    <mergeCell ref="D18:D19"/>
    <mergeCell ref="I18:I19"/>
    <mergeCell ref="C18:C19"/>
  </mergeCells>
  <printOptions/>
  <pageMargins left="0.5905511811023623" right="0.1968503937007874" top="0.5905511811023623" bottom="0.3937007874015748" header="0.11811023622047245" footer="0.11811023622047245"/>
  <pageSetup horizontalDpi="600" verticalDpi="600" orientation="portrait" paperSize="8" scale="75" r:id="rId1"/>
</worksheet>
</file>

<file path=xl/worksheets/sheet16.xml><?xml version="1.0" encoding="utf-8"?>
<worksheet xmlns="http://schemas.openxmlformats.org/spreadsheetml/2006/main" xmlns:r="http://schemas.openxmlformats.org/officeDocument/2006/relationships">
  <sheetPr>
    <tabColor rgb="FF92D050"/>
  </sheetPr>
  <dimension ref="A1:AE94"/>
  <sheetViews>
    <sheetView view="pageBreakPreview" zoomScale="85" zoomScaleSheetLayoutView="85" zoomScalePageLayoutView="0" workbookViewId="0" topLeftCell="A67">
      <selection activeCell="B87" sqref="B87"/>
    </sheetView>
  </sheetViews>
  <sheetFormatPr defaultColWidth="10.875" defaultRowHeight="15.75"/>
  <cols>
    <col min="1" max="1" width="7.125" style="7" customWidth="1"/>
    <col min="2" max="2" width="95.50390625" style="8" customWidth="1"/>
    <col min="3" max="3" width="14.00390625" style="8" customWidth="1"/>
    <col min="4" max="4" width="20.125" style="518" customWidth="1"/>
    <col min="5" max="5" width="22.50390625" style="8" customWidth="1"/>
    <col min="6" max="6" width="11.75390625" style="11" customWidth="1"/>
    <col min="7" max="7" width="13.125" style="8" customWidth="1"/>
    <col min="8" max="8" width="15.375" style="8" customWidth="1"/>
    <col min="9" max="9" width="20.50390625" style="11" customWidth="1"/>
    <col min="10" max="10" width="13.875" style="8" customWidth="1"/>
    <col min="11" max="11" width="18.875" style="446" customWidth="1"/>
    <col min="12" max="12" width="14.75390625" style="8" customWidth="1"/>
    <col min="13" max="13" width="16.00390625" style="8" customWidth="1"/>
    <col min="14" max="14" width="50.00390625" style="8" customWidth="1"/>
    <col min="15" max="15" width="17.875" style="8" customWidth="1"/>
    <col min="16" max="16" width="12.25390625" style="8" customWidth="1"/>
    <col min="17" max="17" width="9.375" style="8" customWidth="1"/>
    <col min="18" max="18" width="11.00390625" style="8" customWidth="1"/>
    <col min="19" max="19" width="11.375" style="444" customWidth="1"/>
    <col min="20" max="20" width="8.125" style="8" customWidth="1"/>
    <col min="21" max="21" width="12.125" style="8" customWidth="1"/>
    <col min="22" max="250" width="9.00390625" style="7" customWidth="1"/>
    <col min="251" max="251" width="3.875" style="7" bestFit="1" customWidth="1"/>
    <col min="252" max="252" width="16.00390625" style="7" bestFit="1" customWidth="1"/>
    <col min="253" max="253" width="16.625" style="7" bestFit="1" customWidth="1"/>
    <col min="254" max="254" width="13.50390625" style="7" bestFit="1" customWidth="1"/>
    <col min="255" max="255" width="10.875" style="7" bestFit="1" customWidth="1"/>
    <col min="256" max="16384" width="10.875" style="7" customWidth="1"/>
  </cols>
  <sheetData>
    <row r="1" ht="15.75">
      <c r="S1" s="440" t="s">
        <v>150</v>
      </c>
    </row>
    <row r="2" ht="15.75">
      <c r="S2" s="441" t="s">
        <v>423</v>
      </c>
    </row>
    <row r="3" ht="15.75">
      <c r="S3" s="441" t="s">
        <v>589</v>
      </c>
    </row>
    <row r="4" ht="18.75">
      <c r="S4" s="442"/>
    </row>
    <row r="5" ht="15.75">
      <c r="S5" s="441" t="s">
        <v>591</v>
      </c>
    </row>
    <row r="6" ht="15.75">
      <c r="S6" s="441" t="s">
        <v>592</v>
      </c>
    </row>
    <row r="7" ht="15.75">
      <c r="S7" s="441"/>
    </row>
    <row r="8" ht="15.75">
      <c r="S8" s="441" t="s">
        <v>597</v>
      </c>
    </row>
    <row r="9" ht="15.75">
      <c r="S9" s="441"/>
    </row>
    <row r="10" spans="16:19" ht="15.75">
      <c r="P10" s="9" t="s">
        <v>593</v>
      </c>
      <c r="S10" s="441" t="s">
        <v>724</v>
      </c>
    </row>
    <row r="11" spans="1:19" ht="16.5">
      <c r="A11" s="670" t="s">
        <v>205</v>
      </c>
      <c r="B11" s="670"/>
      <c r="C11" s="670"/>
      <c r="D11" s="670"/>
      <c r="E11" s="670"/>
      <c r="F11" s="670"/>
      <c r="G11" s="670"/>
      <c r="H11" s="670"/>
      <c r="I11" s="670"/>
      <c r="J11" s="670"/>
      <c r="K11" s="670"/>
      <c r="L11" s="670"/>
      <c r="M11" s="670"/>
      <c r="N11" s="670"/>
      <c r="O11" s="670"/>
      <c r="P11" s="670"/>
      <c r="Q11" s="670"/>
      <c r="R11" s="670"/>
      <c r="S11" s="670"/>
    </row>
    <row r="12" spans="1:20" ht="15.75">
      <c r="A12" s="663" t="str">
        <f>1!A14:U14</f>
        <v>Инвестиционная программа Филиала "Железноводские электрические сети" ООО "КЭУК".</v>
      </c>
      <c r="B12" s="663"/>
      <c r="C12" s="663"/>
      <c r="D12" s="663"/>
      <c r="E12" s="663"/>
      <c r="F12" s="663"/>
      <c r="G12" s="663"/>
      <c r="H12" s="663"/>
      <c r="I12" s="663"/>
      <c r="J12" s="663"/>
      <c r="K12" s="663"/>
      <c r="L12" s="663"/>
      <c r="M12" s="663"/>
      <c r="N12" s="663"/>
      <c r="O12" s="663"/>
      <c r="P12" s="663"/>
      <c r="Q12" s="663"/>
      <c r="R12" s="663"/>
      <c r="S12" s="663"/>
      <c r="T12" s="9"/>
    </row>
    <row r="13" spans="1:20" ht="15.75">
      <c r="A13" s="542" t="s">
        <v>126</v>
      </c>
      <c r="B13" s="542"/>
      <c r="C13" s="542"/>
      <c r="D13" s="542"/>
      <c r="E13" s="542"/>
      <c r="F13" s="542"/>
      <c r="G13" s="542"/>
      <c r="H13" s="542"/>
      <c r="I13" s="542"/>
      <c r="J13" s="542"/>
      <c r="K13" s="542"/>
      <c r="L13" s="542"/>
      <c r="M13" s="542"/>
      <c r="N13" s="542"/>
      <c r="O13" s="542"/>
      <c r="P13" s="542"/>
      <c r="Q13" s="542"/>
      <c r="R13" s="542"/>
      <c r="S13" s="542"/>
      <c r="T13" s="9"/>
    </row>
    <row r="14" spans="1:20" ht="15.75">
      <c r="A14" s="72"/>
      <c r="B14" s="72"/>
      <c r="C14" s="72"/>
      <c r="D14" s="519"/>
      <c r="E14" s="72"/>
      <c r="F14" s="499"/>
      <c r="G14" s="72"/>
      <c r="H14" s="72"/>
      <c r="I14" s="499"/>
      <c r="J14" s="72"/>
      <c r="K14" s="443"/>
      <c r="L14" s="72"/>
      <c r="M14" s="72"/>
      <c r="N14" s="72"/>
      <c r="O14" s="72"/>
      <c r="P14" s="72"/>
      <c r="Q14" s="72"/>
      <c r="R14" s="72"/>
      <c r="S14" s="443"/>
      <c r="T14" s="9"/>
    </row>
    <row r="15" spans="1:20" ht="15.75">
      <c r="A15" s="561" t="str">
        <f>1!A17:U17</f>
        <v>Год раскрытия информации: 2018 год</v>
      </c>
      <c r="B15" s="561"/>
      <c r="C15" s="561"/>
      <c r="D15" s="561"/>
      <c r="E15" s="561"/>
      <c r="F15" s="561"/>
      <c r="G15" s="561"/>
      <c r="H15" s="561"/>
      <c r="I15" s="561"/>
      <c r="J15" s="561"/>
      <c r="K15" s="561"/>
      <c r="L15" s="561"/>
      <c r="M15" s="561"/>
      <c r="N15" s="561"/>
      <c r="O15" s="561"/>
      <c r="P15" s="561"/>
      <c r="Q15" s="561"/>
      <c r="R15" s="561"/>
      <c r="S15" s="561"/>
      <c r="T15" s="9"/>
    </row>
    <row r="16" spans="1:31" s="10" customFormat="1" ht="16.5" customHeight="1" thickBot="1">
      <c r="A16" s="668"/>
      <c r="B16" s="668"/>
      <c r="C16" s="668"/>
      <c r="D16" s="668"/>
      <c r="E16" s="668"/>
      <c r="F16" s="668"/>
      <c r="G16" s="668"/>
      <c r="H16" s="668"/>
      <c r="I16" s="668"/>
      <c r="J16" s="668"/>
      <c r="K16" s="668"/>
      <c r="L16" s="668"/>
      <c r="M16" s="668"/>
      <c r="N16" s="668"/>
      <c r="O16" s="668"/>
      <c r="P16" s="668"/>
      <c r="Q16" s="668"/>
      <c r="R16" s="668"/>
      <c r="S16" s="444"/>
      <c r="T16" s="8"/>
      <c r="U16" s="8"/>
      <c r="V16" s="7"/>
      <c r="W16" s="7"/>
      <c r="X16" s="7"/>
      <c r="Y16" s="7"/>
      <c r="Z16" s="7"/>
      <c r="AA16" s="7"/>
      <c r="AB16" s="7"/>
      <c r="AC16" s="7"/>
      <c r="AD16" s="7"/>
      <c r="AE16" s="7"/>
    </row>
    <row r="17" spans="1:31" s="10" customFormat="1" ht="15">
      <c r="A17" s="739" t="s">
        <v>604</v>
      </c>
      <c r="B17" s="730" t="s">
        <v>452</v>
      </c>
      <c r="C17" s="730" t="s">
        <v>113</v>
      </c>
      <c r="D17" s="755" t="s">
        <v>461</v>
      </c>
      <c r="E17" s="750" t="s">
        <v>0</v>
      </c>
      <c r="F17" s="742" t="s">
        <v>772</v>
      </c>
      <c r="G17" s="743"/>
      <c r="H17" s="743"/>
      <c r="I17" s="743"/>
      <c r="J17" s="744"/>
      <c r="K17" s="748" t="s">
        <v>773</v>
      </c>
      <c r="L17" s="742" t="s">
        <v>2</v>
      </c>
      <c r="M17" s="744"/>
      <c r="N17" s="730" t="s">
        <v>1</v>
      </c>
      <c r="O17" s="715" t="s">
        <v>127</v>
      </c>
      <c r="P17" s="731" t="s">
        <v>3</v>
      </c>
      <c r="Q17" s="731"/>
      <c r="R17" s="731"/>
      <c r="S17" s="741"/>
      <c r="T17" s="8"/>
      <c r="U17" s="8"/>
      <c r="V17" s="7"/>
      <c r="W17" s="7"/>
      <c r="X17" s="7"/>
      <c r="Y17" s="7"/>
      <c r="Z17" s="7"/>
      <c r="AA17" s="7"/>
      <c r="AB17" s="7"/>
      <c r="AC17" s="7"/>
      <c r="AD17" s="7"/>
      <c r="AE17" s="7"/>
    </row>
    <row r="18" spans="1:31" s="10" customFormat="1" ht="51" customHeight="1">
      <c r="A18" s="740"/>
      <c r="B18" s="675"/>
      <c r="C18" s="675"/>
      <c r="D18" s="756"/>
      <c r="E18" s="751"/>
      <c r="F18" s="745"/>
      <c r="G18" s="746"/>
      <c r="H18" s="746"/>
      <c r="I18" s="746"/>
      <c r="J18" s="747"/>
      <c r="K18" s="749"/>
      <c r="L18" s="745"/>
      <c r="M18" s="747"/>
      <c r="N18" s="675"/>
      <c r="O18" s="673"/>
      <c r="P18" s="687" t="s">
        <v>277</v>
      </c>
      <c r="Q18" s="687"/>
      <c r="R18" s="687" t="s">
        <v>278</v>
      </c>
      <c r="S18" s="753"/>
      <c r="T18" s="8"/>
      <c r="U18" s="8"/>
      <c r="V18" s="7"/>
      <c r="W18" s="7"/>
      <c r="X18" s="7"/>
      <c r="Y18" s="7"/>
      <c r="Z18" s="7"/>
      <c r="AA18" s="7"/>
      <c r="AB18" s="7"/>
      <c r="AC18" s="7"/>
      <c r="AD18" s="7"/>
      <c r="AE18" s="7"/>
    </row>
    <row r="19" spans="1:31" s="10" customFormat="1" ht="137.25" customHeight="1" thickBot="1">
      <c r="A19" s="754"/>
      <c r="B19" s="672"/>
      <c r="C19" s="672"/>
      <c r="D19" s="757"/>
      <c r="E19" s="752"/>
      <c r="F19" s="305" t="s">
        <v>449</v>
      </c>
      <c r="G19" s="305" t="s">
        <v>446</v>
      </c>
      <c r="H19" s="305" t="s">
        <v>447</v>
      </c>
      <c r="I19" s="523" t="s">
        <v>254</v>
      </c>
      <c r="J19" s="305" t="s">
        <v>448</v>
      </c>
      <c r="K19" s="749"/>
      <c r="L19" s="180" t="s">
        <v>240</v>
      </c>
      <c r="M19" s="180" t="s">
        <v>241</v>
      </c>
      <c r="N19" s="672"/>
      <c r="O19" s="673"/>
      <c r="P19" s="306" t="s">
        <v>8</v>
      </c>
      <c r="Q19" s="306" t="s">
        <v>9</v>
      </c>
      <c r="R19" s="306" t="s">
        <v>8</v>
      </c>
      <c r="S19" s="526" t="s">
        <v>9</v>
      </c>
      <c r="T19" s="8"/>
      <c r="U19" s="8"/>
      <c r="V19" s="7"/>
      <c r="W19" s="7"/>
      <c r="X19" s="7"/>
      <c r="Y19" s="7"/>
      <c r="Z19" s="7"/>
      <c r="AA19" s="7"/>
      <c r="AB19" s="7"/>
      <c r="AC19" s="7"/>
      <c r="AD19" s="7"/>
      <c r="AE19" s="7"/>
    </row>
    <row r="20" spans="1:31" s="10" customFormat="1" ht="15" customHeight="1" thickBot="1">
      <c r="A20" s="293">
        <v>1</v>
      </c>
      <c r="B20" s="294">
        <v>2</v>
      </c>
      <c r="C20" s="294">
        <v>3</v>
      </c>
      <c r="D20" s="520">
        <v>4</v>
      </c>
      <c r="E20" s="294">
        <v>5</v>
      </c>
      <c r="F20" s="294">
        <v>6</v>
      </c>
      <c r="G20" s="294">
        <v>7</v>
      </c>
      <c r="H20" s="294">
        <v>8</v>
      </c>
      <c r="I20" s="294">
        <v>9</v>
      </c>
      <c r="J20" s="294">
        <v>10</v>
      </c>
      <c r="K20" s="294">
        <v>11</v>
      </c>
      <c r="L20" s="294">
        <v>12</v>
      </c>
      <c r="M20" s="294">
        <v>13</v>
      </c>
      <c r="N20" s="294">
        <v>14</v>
      </c>
      <c r="O20" s="294">
        <v>15</v>
      </c>
      <c r="P20" s="309" t="s">
        <v>128</v>
      </c>
      <c r="Q20" s="309" t="s">
        <v>129</v>
      </c>
      <c r="R20" s="309" t="s">
        <v>130</v>
      </c>
      <c r="S20" s="527" t="s">
        <v>131</v>
      </c>
      <c r="T20" s="8"/>
      <c r="U20" s="8"/>
      <c r="V20" s="7"/>
      <c r="W20" s="7"/>
      <c r="X20" s="7"/>
      <c r="Y20" s="7"/>
      <c r="Z20" s="7"/>
      <c r="AA20" s="7"/>
      <c r="AB20" s="7"/>
      <c r="AC20" s="7"/>
      <c r="AD20" s="7"/>
      <c r="AE20" s="7"/>
    </row>
    <row r="21" spans="1:31" s="163" customFormat="1" ht="15" customHeight="1">
      <c r="A21" s="323">
        <v>0</v>
      </c>
      <c r="B21" s="194" t="s">
        <v>475</v>
      </c>
      <c r="C21" s="324" t="s">
        <v>261</v>
      </c>
      <c r="D21" s="153">
        <f>SUM(D22:D27)</f>
        <v>37.523410673</v>
      </c>
      <c r="E21" s="307"/>
      <c r="F21" s="153">
        <f>SUM(F22:F27)</f>
        <v>37.523410673</v>
      </c>
      <c r="G21" s="307"/>
      <c r="H21" s="307"/>
      <c r="I21" s="153">
        <f>SUM(I22:I27)</f>
        <v>24.968342897799996</v>
      </c>
      <c r="J21" s="153">
        <f>SUM(J22:J27)</f>
        <v>12.555067775200001</v>
      </c>
      <c r="K21" s="153">
        <f>SUM(K22:K27)</f>
        <v>31.77986395355932</v>
      </c>
      <c r="L21" s="307"/>
      <c r="M21" s="307"/>
      <c r="N21" s="307"/>
      <c r="O21" s="307"/>
      <c r="P21" s="308"/>
      <c r="Q21" s="153">
        <f>SUM(Q22:Q27)</f>
        <v>1.38</v>
      </c>
      <c r="R21" s="308"/>
      <c r="S21" s="153">
        <f>SUM(S22:S27)</f>
        <v>18.947000000000003</v>
      </c>
      <c r="T21" s="11"/>
      <c r="U21" s="11"/>
      <c r="V21" s="18"/>
      <c r="W21" s="18"/>
      <c r="X21" s="18"/>
      <c r="Y21" s="18"/>
      <c r="Z21" s="18"/>
      <c r="AA21" s="18"/>
      <c r="AB21" s="18"/>
      <c r="AC21" s="18"/>
      <c r="AD21" s="18"/>
      <c r="AE21" s="18"/>
    </row>
    <row r="22" spans="1:31" s="326" customFormat="1" ht="33.75" customHeight="1">
      <c r="A22" s="207" t="s">
        <v>476</v>
      </c>
      <c r="B22" s="159" t="s">
        <v>477</v>
      </c>
      <c r="C22" s="173" t="s">
        <v>261</v>
      </c>
      <c r="D22" s="153">
        <f>D50</f>
        <v>12.555067775200001</v>
      </c>
      <c r="E22" s="151" t="s">
        <v>368</v>
      </c>
      <c r="F22" s="153">
        <f>F50</f>
        <v>12.555067775200001</v>
      </c>
      <c r="G22" s="151"/>
      <c r="H22" s="151"/>
      <c r="I22" s="153">
        <f>I50</f>
        <v>0</v>
      </c>
      <c r="J22" s="153">
        <f>J50</f>
        <v>12.555067775200001</v>
      </c>
      <c r="K22" s="153">
        <f>K50</f>
        <v>11.0606299</v>
      </c>
      <c r="L22" s="153"/>
      <c r="M22" s="151"/>
      <c r="N22" s="151" t="s">
        <v>368</v>
      </c>
      <c r="O22" s="151" t="s">
        <v>368</v>
      </c>
      <c r="P22" s="153">
        <f>SUM(P23:P27)</f>
        <v>0</v>
      </c>
      <c r="Q22" s="153">
        <f>Q50</f>
        <v>1.38</v>
      </c>
      <c r="R22" s="153">
        <f>SUM(R23:R27)</f>
        <v>0</v>
      </c>
      <c r="S22" s="153">
        <f>S50</f>
        <v>5.628</v>
      </c>
      <c r="T22" s="330"/>
      <c r="U22" s="330"/>
      <c r="V22" s="327"/>
      <c r="W22" s="327"/>
      <c r="X22" s="327"/>
      <c r="Y22" s="327"/>
      <c r="Z22" s="327"/>
      <c r="AA22" s="327"/>
      <c r="AB22" s="327"/>
      <c r="AC22" s="327"/>
      <c r="AD22" s="327"/>
      <c r="AE22" s="327"/>
    </row>
    <row r="23" spans="1:31" s="326" customFormat="1" ht="33.75" customHeight="1">
      <c r="A23" s="207" t="s">
        <v>478</v>
      </c>
      <c r="B23" s="159" t="s">
        <v>479</v>
      </c>
      <c r="C23" s="173" t="s">
        <v>261</v>
      </c>
      <c r="D23" s="153">
        <f>D28</f>
        <v>14.576839057799997</v>
      </c>
      <c r="E23" s="151" t="s">
        <v>368</v>
      </c>
      <c r="F23" s="153">
        <f>F28</f>
        <v>14.576839057799997</v>
      </c>
      <c r="G23" s="151"/>
      <c r="H23" s="151"/>
      <c r="I23" s="153">
        <f>I28</f>
        <v>14.576839057799997</v>
      </c>
      <c r="J23" s="153">
        <f>J28</f>
        <v>0</v>
      </c>
      <c r="K23" s="153">
        <f>K28</f>
        <v>11.83400567</v>
      </c>
      <c r="L23" s="151"/>
      <c r="M23" s="151"/>
      <c r="N23" s="151" t="s">
        <v>368</v>
      </c>
      <c r="O23" s="151" t="s">
        <v>368</v>
      </c>
      <c r="P23" s="153">
        <f>P28</f>
        <v>0</v>
      </c>
      <c r="Q23" s="153">
        <f>Q28</f>
        <v>0</v>
      </c>
      <c r="R23" s="153">
        <f>R28</f>
        <v>0</v>
      </c>
      <c r="S23" s="524">
        <f>S28</f>
        <v>11.075000000000001</v>
      </c>
      <c r="T23" s="330"/>
      <c r="U23" s="330"/>
      <c r="V23" s="327"/>
      <c r="W23" s="327"/>
      <c r="X23" s="327"/>
      <c r="Y23" s="327"/>
      <c r="Z23" s="327"/>
      <c r="AA23" s="327"/>
      <c r="AB23" s="327"/>
      <c r="AC23" s="327"/>
      <c r="AD23" s="327"/>
      <c r="AE23" s="327"/>
    </row>
    <row r="24" spans="1:31" s="326" customFormat="1" ht="33.75" customHeight="1">
      <c r="A24" s="207" t="s">
        <v>480</v>
      </c>
      <c r="B24" s="159" t="s">
        <v>481</v>
      </c>
      <c r="C24" s="173" t="s">
        <v>261</v>
      </c>
      <c r="D24" s="153">
        <v>0</v>
      </c>
      <c r="E24" s="151" t="s">
        <v>368</v>
      </c>
      <c r="F24" s="153">
        <v>0</v>
      </c>
      <c r="G24" s="151"/>
      <c r="H24" s="151"/>
      <c r="I24" s="153">
        <v>0</v>
      </c>
      <c r="J24" s="153">
        <v>0</v>
      </c>
      <c r="K24" s="153">
        <v>0</v>
      </c>
      <c r="L24" s="151"/>
      <c r="M24" s="151"/>
      <c r="N24" s="151" t="s">
        <v>368</v>
      </c>
      <c r="O24" s="151" t="s">
        <v>368</v>
      </c>
      <c r="P24" s="153">
        <v>0</v>
      </c>
      <c r="Q24" s="153">
        <v>0</v>
      </c>
      <c r="R24" s="153">
        <v>0</v>
      </c>
      <c r="S24" s="524">
        <v>0</v>
      </c>
      <c r="T24" s="330"/>
      <c r="U24" s="330"/>
      <c r="V24" s="327"/>
      <c r="W24" s="327"/>
      <c r="X24" s="327"/>
      <c r="Y24" s="327"/>
      <c r="Z24" s="327"/>
      <c r="AA24" s="327"/>
      <c r="AB24" s="327"/>
      <c r="AC24" s="327"/>
      <c r="AD24" s="327"/>
      <c r="AE24" s="327"/>
    </row>
    <row r="25" spans="1:31" s="326" customFormat="1" ht="33.75" customHeight="1">
      <c r="A25" s="207" t="s">
        <v>482</v>
      </c>
      <c r="B25" s="159" t="s">
        <v>483</v>
      </c>
      <c r="C25" s="173" t="s">
        <v>261</v>
      </c>
      <c r="D25" s="153">
        <f>D48</f>
        <v>7.42196984</v>
      </c>
      <c r="E25" s="151" t="s">
        <v>368</v>
      </c>
      <c r="F25" s="153">
        <f>F48</f>
        <v>7.42196984</v>
      </c>
      <c r="G25" s="151"/>
      <c r="H25" s="151"/>
      <c r="I25" s="153">
        <f>I48</f>
        <v>7.42196984</v>
      </c>
      <c r="J25" s="153">
        <f>J48</f>
        <v>0</v>
      </c>
      <c r="K25" s="153">
        <f>K48</f>
        <v>6.46007275</v>
      </c>
      <c r="L25" s="151"/>
      <c r="M25" s="151"/>
      <c r="N25" s="151" t="s">
        <v>368</v>
      </c>
      <c r="O25" s="151" t="s">
        <v>368</v>
      </c>
      <c r="P25" s="153">
        <f>P47</f>
        <v>0</v>
      </c>
      <c r="Q25" s="153">
        <f>Q48</f>
        <v>0</v>
      </c>
      <c r="R25" s="153">
        <f>R47</f>
        <v>0</v>
      </c>
      <c r="S25" s="524">
        <f>S48</f>
        <v>2.244</v>
      </c>
      <c r="T25" s="330"/>
      <c r="U25" s="330"/>
      <c r="V25" s="327"/>
      <c r="W25" s="327"/>
      <c r="X25" s="327"/>
      <c r="Y25" s="327"/>
      <c r="Z25" s="327"/>
      <c r="AA25" s="327"/>
      <c r="AB25" s="327"/>
      <c r="AC25" s="327"/>
      <c r="AD25" s="327"/>
      <c r="AE25" s="327"/>
    </row>
    <row r="26" spans="1:31" s="326" customFormat="1" ht="33.75" customHeight="1">
      <c r="A26" s="207" t="s">
        <v>484</v>
      </c>
      <c r="B26" s="160" t="s">
        <v>485</v>
      </c>
      <c r="C26" s="173" t="s">
        <v>261</v>
      </c>
      <c r="D26" s="153">
        <v>0</v>
      </c>
      <c r="E26" s="151" t="s">
        <v>368</v>
      </c>
      <c r="F26" s="153">
        <v>0</v>
      </c>
      <c r="G26" s="151"/>
      <c r="H26" s="151"/>
      <c r="I26" s="153">
        <v>0</v>
      </c>
      <c r="J26" s="153">
        <v>0</v>
      </c>
      <c r="K26" s="153">
        <v>0</v>
      </c>
      <c r="L26" s="151"/>
      <c r="M26" s="151"/>
      <c r="N26" s="151" t="s">
        <v>368</v>
      </c>
      <c r="O26" s="151" t="s">
        <v>368</v>
      </c>
      <c r="P26" s="153">
        <v>0</v>
      </c>
      <c r="Q26" s="153">
        <v>0</v>
      </c>
      <c r="R26" s="153">
        <v>0</v>
      </c>
      <c r="S26" s="524">
        <v>0</v>
      </c>
      <c r="T26" s="330"/>
      <c r="U26" s="330"/>
      <c r="V26" s="327"/>
      <c r="W26" s="327"/>
      <c r="X26" s="327"/>
      <c r="Y26" s="327"/>
      <c r="Z26" s="327"/>
      <c r="AA26" s="327"/>
      <c r="AB26" s="327"/>
      <c r="AC26" s="327"/>
      <c r="AD26" s="327"/>
      <c r="AE26" s="327"/>
    </row>
    <row r="27" spans="1:31" s="326" customFormat="1" ht="33.75" customHeight="1">
      <c r="A27" s="207" t="s">
        <v>486</v>
      </c>
      <c r="B27" s="160" t="s">
        <v>487</v>
      </c>
      <c r="C27" s="173" t="s">
        <v>261</v>
      </c>
      <c r="D27" s="153">
        <f>D43</f>
        <v>2.969534</v>
      </c>
      <c r="E27" s="151" t="s">
        <v>368</v>
      </c>
      <c r="F27" s="153">
        <f>F43</f>
        <v>2.969534</v>
      </c>
      <c r="G27" s="151"/>
      <c r="H27" s="151"/>
      <c r="I27" s="153">
        <f>I43</f>
        <v>2.969534</v>
      </c>
      <c r="J27" s="153">
        <f>J43</f>
        <v>0</v>
      </c>
      <c r="K27" s="153">
        <f>K43</f>
        <v>2.4251556335593216</v>
      </c>
      <c r="L27" s="151"/>
      <c r="M27" s="151"/>
      <c r="N27" s="151" t="s">
        <v>368</v>
      </c>
      <c r="O27" s="151" t="s">
        <v>368</v>
      </c>
      <c r="P27" s="153">
        <f>P43</f>
        <v>0</v>
      </c>
      <c r="Q27" s="153">
        <f>Q43</f>
        <v>0</v>
      </c>
      <c r="R27" s="153">
        <f>R43</f>
        <v>0</v>
      </c>
      <c r="S27" s="524">
        <f>S43</f>
        <v>0</v>
      </c>
      <c r="T27" s="330"/>
      <c r="U27" s="330"/>
      <c r="V27" s="327"/>
      <c r="W27" s="327"/>
      <c r="X27" s="327"/>
      <c r="Y27" s="327"/>
      <c r="Z27" s="327"/>
      <c r="AA27" s="327"/>
      <c r="AB27" s="327"/>
      <c r="AC27" s="327"/>
      <c r="AD27" s="327"/>
      <c r="AE27" s="327"/>
    </row>
    <row r="28" spans="1:31" s="326" customFormat="1" ht="33.75" customHeight="1">
      <c r="A28" s="207" t="s">
        <v>284</v>
      </c>
      <c r="B28" s="161" t="s">
        <v>260</v>
      </c>
      <c r="C28" s="173" t="s">
        <v>261</v>
      </c>
      <c r="D28" s="153">
        <f>D29+D40</f>
        <v>14.576839057799997</v>
      </c>
      <c r="E28" s="151" t="s">
        <v>368</v>
      </c>
      <c r="F28" s="153">
        <f>F29+F40</f>
        <v>14.576839057799997</v>
      </c>
      <c r="G28" s="151"/>
      <c r="H28" s="151"/>
      <c r="I28" s="153">
        <f>I29+I40</f>
        <v>14.576839057799997</v>
      </c>
      <c r="J28" s="153">
        <f>J29+J40</f>
        <v>0</v>
      </c>
      <c r="K28" s="153">
        <f>K29+K40</f>
        <v>11.83400567</v>
      </c>
      <c r="L28" s="151"/>
      <c r="M28" s="151"/>
      <c r="N28" s="151" t="s">
        <v>368</v>
      </c>
      <c r="O28" s="151" t="s">
        <v>368</v>
      </c>
      <c r="P28" s="153">
        <f>P29+P40</f>
        <v>0</v>
      </c>
      <c r="Q28" s="153">
        <f>Q29+Q40</f>
        <v>0</v>
      </c>
      <c r="R28" s="153">
        <f>R29+R40</f>
        <v>0</v>
      </c>
      <c r="S28" s="524">
        <f>S29+S40</f>
        <v>11.075000000000001</v>
      </c>
      <c r="T28" s="330"/>
      <c r="U28" s="330"/>
      <c r="V28" s="327"/>
      <c r="W28" s="327"/>
      <c r="X28" s="327"/>
      <c r="Y28" s="327"/>
      <c r="Z28" s="327"/>
      <c r="AA28" s="327"/>
      <c r="AB28" s="327"/>
      <c r="AC28" s="327"/>
      <c r="AD28" s="327"/>
      <c r="AE28" s="327"/>
    </row>
    <row r="29" spans="1:31" s="326" customFormat="1" ht="33.75" customHeight="1">
      <c r="A29" s="207" t="s">
        <v>285</v>
      </c>
      <c r="B29" s="161" t="s">
        <v>263</v>
      </c>
      <c r="C29" s="173" t="s">
        <v>261</v>
      </c>
      <c r="D29" s="153">
        <f>SUM(D30:D39)</f>
        <v>13.857039057799998</v>
      </c>
      <c r="E29" s="151" t="s">
        <v>368</v>
      </c>
      <c r="F29" s="153">
        <f>SUM(F30:F39)</f>
        <v>13.857039057799998</v>
      </c>
      <c r="G29" s="151"/>
      <c r="H29" s="151"/>
      <c r="I29" s="153">
        <f>SUM(I30:I39)</f>
        <v>13.857039057799998</v>
      </c>
      <c r="J29" s="153">
        <f>SUM(J30:J39)</f>
        <v>0</v>
      </c>
      <c r="K29" s="153">
        <f>SUM(K30:K39)</f>
        <v>11.029878049999999</v>
      </c>
      <c r="L29" s="151"/>
      <c r="M29" s="151"/>
      <c r="N29" s="151" t="s">
        <v>368</v>
      </c>
      <c r="O29" s="151" t="s">
        <v>368</v>
      </c>
      <c r="P29" s="153">
        <f>SUM(P30:P39)</f>
        <v>0</v>
      </c>
      <c r="Q29" s="153">
        <f>SUM(Q30:Q39)</f>
        <v>0</v>
      </c>
      <c r="R29" s="153">
        <f>SUM(R30:R39)</f>
        <v>0</v>
      </c>
      <c r="S29" s="524">
        <f>SUM(S30:S39)</f>
        <v>11.075000000000001</v>
      </c>
      <c r="T29" s="330"/>
      <c r="U29" s="330"/>
      <c r="V29" s="327"/>
      <c r="W29" s="327"/>
      <c r="X29" s="327"/>
      <c r="Y29" s="327"/>
      <c r="Z29" s="327"/>
      <c r="AA29" s="327"/>
      <c r="AB29" s="327"/>
      <c r="AC29" s="327"/>
      <c r="AD29" s="327"/>
      <c r="AE29" s="327"/>
    </row>
    <row r="30" spans="1:31" s="163" customFormat="1" ht="60">
      <c r="A30" s="281" t="str">
        <f>1!A33</f>
        <v>1.1</v>
      </c>
      <c r="B30" s="355" t="str">
        <f>1!B33</f>
        <v>Реконструкция ВЛ-0,4 кВ ул.Шоссейная, п.Иноземцево, (и/н 0000467), СИП-2 3х50+1х54,6 - 0,418 км, СИП-2 3х35+1х54,6 - 0,366 км и СИП-4 2х16 - 0,575 км</v>
      </c>
      <c r="C30" s="100" t="str">
        <f>1!C33</f>
        <v>G_Gelezno_001</v>
      </c>
      <c r="D30" s="152">
        <f>2!I29</f>
        <v>0.7716063778</v>
      </c>
      <c r="E30" s="45" t="s">
        <v>412</v>
      </c>
      <c r="F30" s="522">
        <f aca="true" t="shared" si="0" ref="F30:F38">G30+H30+I30+J30</f>
        <v>0.7716063778</v>
      </c>
      <c r="G30" s="45"/>
      <c r="H30" s="45"/>
      <c r="I30" s="522">
        <f>D30</f>
        <v>0.7716063778</v>
      </c>
      <c r="J30" s="373"/>
      <c r="K30" s="522">
        <f>3!I32</f>
        <v>0.65084746</v>
      </c>
      <c r="L30" s="45">
        <v>2017</v>
      </c>
      <c r="M30" s="45"/>
      <c r="N30" s="155" t="s">
        <v>596</v>
      </c>
      <c r="O30" s="45" t="s">
        <v>368</v>
      </c>
      <c r="P30" s="152"/>
      <c r="Q30" s="152"/>
      <c r="R30" s="152"/>
      <c r="S30" s="525">
        <f>4!J35</f>
        <v>0.784</v>
      </c>
      <c r="T30" s="11"/>
      <c r="U30" s="11"/>
      <c r="V30" s="18"/>
      <c r="W30" s="18"/>
      <c r="X30" s="18"/>
      <c r="Y30" s="18"/>
      <c r="Z30" s="18"/>
      <c r="AA30" s="18"/>
      <c r="AB30" s="18"/>
      <c r="AC30" s="18"/>
      <c r="AD30" s="18"/>
      <c r="AE30" s="18"/>
    </row>
    <row r="31" spans="1:31" s="163" customFormat="1" ht="60">
      <c r="A31" s="281" t="str">
        <f>1!A34</f>
        <v>1.1</v>
      </c>
      <c r="B31" s="355" t="str">
        <f>1!B34</f>
        <v>Реконструкция ВЛ-0,4 кВ ул.Р.Люксембург, г.Железноводск, (и/н 0000305), СИП-2 3х35+1х54,6 - 0,367 км и СИП-4 2х16 - 0,45 км</v>
      </c>
      <c r="C31" s="100" t="str">
        <f>1!C34</f>
        <v>G_Gelezno_002</v>
      </c>
      <c r="D31" s="152">
        <f>2!I30</f>
        <v>0.4861599999999999</v>
      </c>
      <c r="E31" s="45" t="s">
        <v>412</v>
      </c>
      <c r="F31" s="522">
        <f t="shared" si="0"/>
        <v>0.4861599999999999</v>
      </c>
      <c r="G31" s="45"/>
      <c r="H31" s="45"/>
      <c r="I31" s="522">
        <f aca="true" t="shared" si="1" ref="I31:I38">D31</f>
        <v>0.4861599999999999</v>
      </c>
      <c r="J31" s="373"/>
      <c r="K31" s="522">
        <f>3!I33</f>
        <v>0.41186441</v>
      </c>
      <c r="L31" s="45">
        <v>2017</v>
      </c>
      <c r="M31" s="45"/>
      <c r="N31" s="155" t="s">
        <v>596</v>
      </c>
      <c r="O31" s="45" t="s">
        <v>368</v>
      </c>
      <c r="P31" s="152"/>
      <c r="Q31" s="152"/>
      <c r="R31" s="152"/>
      <c r="S31" s="525">
        <f>4!J36</f>
        <v>0.367</v>
      </c>
      <c r="T31" s="11"/>
      <c r="U31" s="11"/>
      <c r="V31" s="18"/>
      <c r="W31" s="18"/>
      <c r="X31" s="18"/>
      <c r="Y31" s="18"/>
      <c r="Z31" s="18"/>
      <c r="AA31" s="18"/>
      <c r="AB31" s="18"/>
      <c r="AC31" s="18"/>
      <c r="AD31" s="18"/>
      <c r="AE31" s="18"/>
    </row>
    <row r="32" spans="1:31" s="163" customFormat="1" ht="60">
      <c r="A32" s="281" t="str">
        <f>1!A35</f>
        <v>1.1</v>
      </c>
      <c r="B32" s="355" t="str">
        <f>1!B35</f>
        <v>Реконструкция ВЛ-0,4 кВ ул.Свободы, п.Иноземцево, (и/н 0000450 и 0000451), СИП-2 3х35+1х54,6 - 2,35 км и СИП-4 2х16 - 2,97 км</v>
      </c>
      <c r="C32" s="100" t="str">
        <f>1!C35</f>
        <v>G_Gelezno_003</v>
      </c>
      <c r="D32" s="152">
        <f>2!I31</f>
        <v>2.64906</v>
      </c>
      <c r="E32" s="45" t="s">
        <v>412</v>
      </c>
      <c r="F32" s="522">
        <f t="shared" si="0"/>
        <v>2.64906</v>
      </c>
      <c r="G32" s="45"/>
      <c r="H32" s="45"/>
      <c r="I32" s="522">
        <f t="shared" si="1"/>
        <v>2.64906</v>
      </c>
      <c r="J32" s="373"/>
      <c r="K32" s="522">
        <f>3!I34</f>
        <v>2.20817534</v>
      </c>
      <c r="L32" s="45">
        <v>2017</v>
      </c>
      <c r="M32" s="45"/>
      <c r="N32" s="155" t="s">
        <v>596</v>
      </c>
      <c r="O32" s="45" t="s">
        <v>368</v>
      </c>
      <c r="P32" s="152"/>
      <c r="Q32" s="152"/>
      <c r="R32" s="152"/>
      <c r="S32" s="525">
        <f>4!J37</f>
        <v>2.35</v>
      </c>
      <c r="T32" s="11"/>
      <c r="U32" s="11"/>
      <c r="V32" s="18"/>
      <c r="W32" s="18"/>
      <c r="X32" s="18"/>
      <c r="Y32" s="18"/>
      <c r="Z32" s="18"/>
      <c r="AA32" s="18"/>
      <c r="AB32" s="18"/>
      <c r="AC32" s="18"/>
      <c r="AD32" s="18"/>
      <c r="AE32" s="18"/>
    </row>
    <row r="33" spans="1:31" s="163" customFormat="1" ht="60">
      <c r="A33" s="281" t="str">
        <f>1!A36</f>
        <v>1.1</v>
      </c>
      <c r="B33" s="355" t="str">
        <f>1!B36</f>
        <v>Реконструкция ВЛ-0,4 кВ ул.Свободы до озера (от ул.Шоссей-ной), п.Иноземцево, (и/н 0000453), СИП-2 3х35+1х54,6 - 2,26 км и СИП-4 2х16 - 2,17 км</v>
      </c>
      <c r="C33" s="100" t="str">
        <f>1!C36</f>
        <v>G_Gelezno_004</v>
      </c>
      <c r="D33" s="152">
        <f>2!I32</f>
        <v>2.6557161600000003</v>
      </c>
      <c r="E33" s="45" t="s">
        <v>412</v>
      </c>
      <c r="F33" s="522">
        <f t="shared" si="0"/>
        <v>2.6557161600000003</v>
      </c>
      <c r="G33" s="45"/>
      <c r="H33" s="45"/>
      <c r="I33" s="522">
        <f t="shared" si="1"/>
        <v>2.6557161600000003</v>
      </c>
      <c r="J33" s="373"/>
      <c r="K33" s="522">
        <f>3!I35</f>
        <v>2.05246279</v>
      </c>
      <c r="L33" s="45">
        <v>2017</v>
      </c>
      <c r="M33" s="45"/>
      <c r="N33" s="155" t="s">
        <v>596</v>
      </c>
      <c r="O33" s="45" t="s">
        <v>368</v>
      </c>
      <c r="P33" s="152"/>
      <c r="Q33" s="152"/>
      <c r="R33" s="152"/>
      <c r="S33" s="525">
        <f>4!J38</f>
        <v>2.26</v>
      </c>
      <c r="T33" s="11"/>
      <c r="U33" s="11"/>
      <c r="V33" s="18"/>
      <c r="W33" s="18"/>
      <c r="X33" s="18"/>
      <c r="Y33" s="18"/>
      <c r="Z33" s="18"/>
      <c r="AA33" s="18"/>
      <c r="AB33" s="18"/>
      <c r="AC33" s="18"/>
      <c r="AD33" s="18"/>
      <c r="AE33" s="18"/>
    </row>
    <row r="34" spans="1:31" s="163" customFormat="1" ht="60">
      <c r="A34" s="281" t="str">
        <f>1!A37</f>
        <v>1.1</v>
      </c>
      <c r="B34" s="355" t="str">
        <f>1!B37</f>
        <v>Реконструкция ВЛ-0,4 кВ ул.60 лет Октября, п.Иноземцево, (и/н 0000329 и 0000330), СИП-2 3х35+1х54,6 - 0,836 км и СИП-4 2х16 - 2,2 км</v>
      </c>
      <c r="C34" s="100" t="str">
        <f>1!C37</f>
        <v>G_Gelezno_005</v>
      </c>
      <c r="D34" s="152">
        <f>2!I33</f>
        <v>1.29092</v>
      </c>
      <c r="E34" s="45" t="s">
        <v>412</v>
      </c>
      <c r="F34" s="522">
        <f t="shared" si="0"/>
        <v>1.29092</v>
      </c>
      <c r="G34" s="45"/>
      <c r="H34" s="45"/>
      <c r="I34" s="522">
        <f t="shared" si="1"/>
        <v>1.29092</v>
      </c>
      <c r="J34" s="373"/>
      <c r="K34" s="522">
        <f>3!I36</f>
        <v>1.04197688</v>
      </c>
      <c r="L34" s="45">
        <v>2017</v>
      </c>
      <c r="M34" s="45"/>
      <c r="N34" s="155" t="s">
        <v>596</v>
      </c>
      <c r="O34" s="45" t="s">
        <v>368</v>
      </c>
      <c r="P34" s="152"/>
      <c r="Q34" s="152"/>
      <c r="R34" s="152"/>
      <c r="S34" s="525">
        <f>4!J39</f>
        <v>0.836</v>
      </c>
      <c r="T34" s="11"/>
      <c r="U34" s="11"/>
      <c r="V34" s="18"/>
      <c r="W34" s="18"/>
      <c r="X34" s="18"/>
      <c r="Y34" s="18"/>
      <c r="Z34" s="18"/>
      <c r="AA34" s="18"/>
      <c r="AB34" s="18"/>
      <c r="AC34" s="18"/>
      <c r="AD34" s="18"/>
      <c r="AE34" s="18"/>
    </row>
    <row r="35" spans="1:31" s="163" customFormat="1" ht="60">
      <c r="A35" s="281" t="str">
        <f>1!A38</f>
        <v>1.1</v>
      </c>
      <c r="B35" s="355" t="str">
        <f>1!B38</f>
        <v>Реконструкция ВЛ-0,4 кВ ул.К.Цеткин и/н 0000376  и  ул.Пушкина и/н 0000440 п.Иноземцево, СИП-2 3х35+1х54,6 - 2,02 км и СИП-4 2х16 - 1,42 км</v>
      </c>
      <c r="C35" s="100" t="str">
        <f>1!C38</f>
        <v>G_Gelezno_006</v>
      </c>
      <c r="D35" s="152">
        <f>2!I34</f>
        <v>2.6963</v>
      </c>
      <c r="E35" s="45" t="s">
        <v>412</v>
      </c>
      <c r="F35" s="522">
        <f t="shared" si="0"/>
        <v>2.6963</v>
      </c>
      <c r="G35" s="45"/>
      <c r="H35" s="45"/>
      <c r="I35" s="522">
        <f t="shared" si="1"/>
        <v>2.6963</v>
      </c>
      <c r="J35" s="373"/>
      <c r="K35" s="522">
        <f>3!I37</f>
        <v>2.1386064800000004</v>
      </c>
      <c r="L35" s="45">
        <v>2017</v>
      </c>
      <c r="M35" s="45"/>
      <c r="N35" s="155" t="s">
        <v>596</v>
      </c>
      <c r="O35" s="45" t="s">
        <v>368</v>
      </c>
      <c r="P35" s="152"/>
      <c r="Q35" s="152"/>
      <c r="R35" s="152"/>
      <c r="S35" s="525">
        <f>4!J40</f>
        <v>2.02</v>
      </c>
      <c r="T35" s="11"/>
      <c r="U35" s="11"/>
      <c r="V35" s="18"/>
      <c r="W35" s="18"/>
      <c r="X35" s="18"/>
      <c r="Y35" s="18"/>
      <c r="Z35" s="18"/>
      <c r="AA35" s="18"/>
      <c r="AB35" s="18"/>
      <c r="AC35" s="18"/>
      <c r="AD35" s="18"/>
      <c r="AE35" s="18"/>
    </row>
    <row r="36" spans="1:31" s="163" customFormat="1" ht="60">
      <c r="A36" s="281" t="str">
        <f>1!A39</f>
        <v>1.1</v>
      </c>
      <c r="B36" s="355" t="str">
        <f>1!B39</f>
        <v>Реконструкция ВЛ-0,4 кВ ул.Бахановича, г.Железноводск, (и/н 0000285), СИП-2 3х35+1х54,6 - 0,502км и СИП-4 2х16 - 0,784 км</v>
      </c>
      <c r="C36" s="100" t="str">
        <f>1!C39</f>
        <v>G_Gelezno_007</v>
      </c>
      <c r="D36" s="152">
        <f>2!I35</f>
        <v>0.7351399999999999</v>
      </c>
      <c r="E36" s="45" t="s">
        <v>412</v>
      </c>
      <c r="F36" s="522">
        <f t="shared" si="0"/>
        <v>0.7351399999999999</v>
      </c>
      <c r="G36" s="45"/>
      <c r="H36" s="45"/>
      <c r="I36" s="522">
        <f t="shared" si="1"/>
        <v>0.7351399999999999</v>
      </c>
      <c r="J36" s="373"/>
      <c r="K36" s="522">
        <f>3!I38</f>
        <v>0.60669792</v>
      </c>
      <c r="L36" s="45">
        <v>2017</v>
      </c>
      <c r="M36" s="45"/>
      <c r="N36" s="155" t="s">
        <v>596</v>
      </c>
      <c r="O36" s="45" t="s">
        <v>368</v>
      </c>
      <c r="P36" s="152"/>
      <c r="Q36" s="152"/>
      <c r="R36" s="152"/>
      <c r="S36" s="525">
        <f>4!J41</f>
        <v>0.502</v>
      </c>
      <c r="T36" s="11"/>
      <c r="U36" s="11"/>
      <c r="V36" s="18"/>
      <c r="W36" s="18"/>
      <c r="X36" s="18"/>
      <c r="Y36" s="18"/>
      <c r="Z36" s="18"/>
      <c r="AA36" s="18"/>
      <c r="AB36" s="18"/>
      <c r="AC36" s="18"/>
      <c r="AD36" s="18"/>
      <c r="AE36" s="18"/>
    </row>
    <row r="37" spans="1:31" s="163" customFormat="1" ht="60">
      <c r="A37" s="281" t="str">
        <f>1!A40</f>
        <v>1.1</v>
      </c>
      <c r="B37" s="355" t="str">
        <f>1!B40</f>
        <v>Реконструкция ВЛ-0,4 кВ ул.Ивановская, г. Железноводск, (и/н 0000370 и 0000371 ), СИП-2 3х35+1х54,6 - 1,12 км и СИП-4 2х16 - 0,4 км</v>
      </c>
      <c r="C37" s="100" t="str">
        <f>1!C40</f>
        <v>G_Gelezno_008</v>
      </c>
      <c r="D37" s="152">
        <f>2!I36</f>
        <v>1.4971399999999997</v>
      </c>
      <c r="E37" s="45" t="s">
        <v>412</v>
      </c>
      <c r="F37" s="522">
        <f t="shared" si="0"/>
        <v>1.4971399999999997</v>
      </c>
      <c r="G37" s="45"/>
      <c r="H37" s="45"/>
      <c r="I37" s="522">
        <f t="shared" si="1"/>
        <v>1.4971399999999997</v>
      </c>
      <c r="J37" s="373"/>
      <c r="K37" s="522">
        <f>3!I39</f>
        <v>1.0239200499999999</v>
      </c>
      <c r="L37" s="45">
        <v>2017</v>
      </c>
      <c r="M37" s="45"/>
      <c r="N37" s="155" t="s">
        <v>596</v>
      </c>
      <c r="O37" s="45" t="s">
        <v>368</v>
      </c>
      <c r="P37" s="152"/>
      <c r="Q37" s="152"/>
      <c r="R37" s="152"/>
      <c r="S37" s="525">
        <f>4!J42</f>
        <v>1.12</v>
      </c>
      <c r="T37" s="11"/>
      <c r="U37" s="11"/>
      <c r="V37" s="18"/>
      <c r="W37" s="18"/>
      <c r="X37" s="18"/>
      <c r="Y37" s="18"/>
      <c r="Z37" s="18"/>
      <c r="AA37" s="18"/>
      <c r="AB37" s="18"/>
      <c r="AC37" s="18"/>
      <c r="AD37" s="18"/>
      <c r="AE37" s="18"/>
    </row>
    <row r="38" spans="1:31" s="163" customFormat="1" ht="60">
      <c r="A38" s="281" t="str">
        <f>1!A41</f>
        <v>1.1</v>
      </c>
      <c r="B38" s="355" t="str">
        <f>1!B41</f>
        <v>Реконструкция ВЛ-0,4 кВ ул.Бахановича от ул.Чапаева, г.Желез-новодск, (и/н 0000283), СИП-2 3х35+1х54,6 - 0,836 км и СИП-4 2х16 - 1,306 км</v>
      </c>
      <c r="C38" s="100" t="str">
        <f>1!C41</f>
        <v>G_Gelezno_009</v>
      </c>
      <c r="D38" s="152">
        <f>2!I37</f>
        <v>1.07499652</v>
      </c>
      <c r="E38" s="45" t="s">
        <v>412</v>
      </c>
      <c r="F38" s="522">
        <f t="shared" si="0"/>
        <v>1.07499652</v>
      </c>
      <c r="G38" s="45"/>
      <c r="H38" s="45"/>
      <c r="I38" s="522">
        <f t="shared" si="1"/>
        <v>1.07499652</v>
      </c>
      <c r="J38" s="373"/>
      <c r="K38" s="522">
        <f>3!I40</f>
        <v>0.89532672</v>
      </c>
      <c r="L38" s="45">
        <v>2017</v>
      </c>
      <c r="M38" s="45"/>
      <c r="N38" s="155" t="s">
        <v>596</v>
      </c>
      <c r="O38" s="45" t="s">
        <v>368</v>
      </c>
      <c r="P38" s="152"/>
      <c r="Q38" s="152"/>
      <c r="R38" s="152"/>
      <c r="S38" s="525">
        <f>4!J43</f>
        <v>0.836</v>
      </c>
      <c r="T38" s="11"/>
      <c r="U38" s="11"/>
      <c r="V38" s="18"/>
      <c r="W38" s="18"/>
      <c r="X38" s="18"/>
      <c r="Y38" s="18"/>
      <c r="Z38" s="18"/>
      <c r="AA38" s="18"/>
      <c r="AB38" s="18"/>
      <c r="AC38" s="18"/>
      <c r="AD38" s="18"/>
      <c r="AE38" s="18"/>
    </row>
    <row r="39" spans="1:31" s="163" customFormat="1" ht="9.75" customHeight="1">
      <c r="A39" s="281"/>
      <c r="B39" s="148"/>
      <c r="C39" s="100"/>
      <c r="D39" s="152"/>
      <c r="E39" s="45"/>
      <c r="F39" s="152"/>
      <c r="G39" s="45"/>
      <c r="H39" s="45"/>
      <c r="I39" s="152"/>
      <c r="J39" s="45"/>
      <c r="K39" s="152"/>
      <c r="L39" s="45"/>
      <c r="M39" s="45"/>
      <c r="N39" s="155"/>
      <c r="O39" s="45"/>
      <c r="P39" s="152"/>
      <c r="Q39" s="152"/>
      <c r="R39" s="152"/>
      <c r="S39" s="525"/>
      <c r="T39" s="11"/>
      <c r="U39" s="11"/>
      <c r="V39" s="18"/>
      <c r="W39" s="18"/>
      <c r="X39" s="18"/>
      <c r="Y39" s="18"/>
      <c r="Z39" s="18"/>
      <c r="AA39" s="18"/>
      <c r="AB39" s="18"/>
      <c r="AC39" s="18"/>
      <c r="AD39" s="18"/>
      <c r="AE39" s="18"/>
    </row>
    <row r="40" spans="1:31" s="326" customFormat="1" ht="15" customHeight="1">
      <c r="A40" s="282" t="str">
        <f>1!A43</f>
        <v>1.2</v>
      </c>
      <c r="B40" s="150" t="str">
        <f>1!B43</f>
        <v>Реконструкция трансформаторных и иных подстанций, всего, в том числе:</v>
      </c>
      <c r="C40" s="149" t="str">
        <f>1!C43</f>
        <v>Г</v>
      </c>
      <c r="D40" s="153">
        <f>SUM(D41:D42)</f>
        <v>0.7198</v>
      </c>
      <c r="E40" s="151"/>
      <c r="F40" s="153">
        <f>SUM(F41:F42)</f>
        <v>0.7198</v>
      </c>
      <c r="G40" s="151"/>
      <c r="H40" s="151"/>
      <c r="I40" s="153">
        <f>SUM(I41:I42)</f>
        <v>0.7198</v>
      </c>
      <c r="J40" s="151"/>
      <c r="K40" s="153">
        <f>SUM(K41:K42)</f>
        <v>0.80412762</v>
      </c>
      <c r="L40" s="151"/>
      <c r="M40" s="151"/>
      <c r="N40" s="154"/>
      <c r="O40" s="45" t="s">
        <v>368</v>
      </c>
      <c r="P40" s="153">
        <f>SUM(P41:P42)</f>
        <v>0</v>
      </c>
      <c r="Q40" s="153">
        <f>SUM(Q41:Q42)</f>
        <v>0</v>
      </c>
      <c r="R40" s="153">
        <f>SUM(R41:R42)</f>
        <v>0</v>
      </c>
      <c r="S40" s="524">
        <f>SUM(S41:S42)</f>
        <v>0</v>
      </c>
      <c r="T40" s="330"/>
      <c r="U40" s="330"/>
      <c r="V40" s="327"/>
      <c r="W40" s="327"/>
      <c r="X40" s="327"/>
      <c r="Y40" s="327"/>
      <c r="Z40" s="327"/>
      <c r="AA40" s="327"/>
      <c r="AB40" s="327"/>
      <c r="AC40" s="327"/>
      <c r="AD40" s="327"/>
      <c r="AE40" s="327"/>
    </row>
    <row r="41" spans="1:31" s="163" customFormat="1" ht="31.5" customHeight="1">
      <c r="A41" s="281" t="str">
        <f>1!A44</f>
        <v>1.2</v>
      </c>
      <c r="B41" s="355" t="str">
        <f>1!B44</f>
        <v>Реконструкция в ТП-187  (и/н 0001379) (камера сборная серии КСО-393-13-400 - 1 шт. и камера сборная серии КСО-393-01 - 1шт.)</v>
      </c>
      <c r="C41" s="100" t="str">
        <f>1!C44</f>
        <v>G_Gelezno_010</v>
      </c>
      <c r="D41" s="152">
        <f>2!I40</f>
        <v>0.7198</v>
      </c>
      <c r="E41" s="45" t="s">
        <v>412</v>
      </c>
      <c r="F41" s="152">
        <f>G41+H41+I41+J41</f>
        <v>0.7198</v>
      </c>
      <c r="G41" s="45"/>
      <c r="H41" s="45"/>
      <c r="I41" s="522">
        <f>D41</f>
        <v>0.7198</v>
      </c>
      <c r="J41" s="373"/>
      <c r="K41" s="522">
        <f>3!I43</f>
        <v>0.80412762</v>
      </c>
      <c r="L41" s="45">
        <v>2017</v>
      </c>
      <c r="M41" s="45"/>
      <c r="N41" s="155" t="s">
        <v>247</v>
      </c>
      <c r="O41" s="45" t="s">
        <v>368</v>
      </c>
      <c r="P41" s="152"/>
      <c r="Q41" s="152"/>
      <c r="R41" s="152"/>
      <c r="S41" s="525"/>
      <c r="T41" s="11"/>
      <c r="U41" s="11"/>
      <c r="V41" s="18"/>
      <c r="W41" s="18"/>
      <c r="X41" s="18"/>
      <c r="Y41" s="18"/>
      <c r="Z41" s="18"/>
      <c r="AA41" s="18"/>
      <c r="AB41" s="18"/>
      <c r="AC41" s="18"/>
      <c r="AD41" s="18"/>
      <c r="AE41" s="18"/>
    </row>
    <row r="42" spans="1:31" s="163" customFormat="1" ht="12" customHeight="1">
      <c r="A42" s="281"/>
      <c r="B42" s="148"/>
      <c r="C42" s="100"/>
      <c r="D42" s="152"/>
      <c r="E42" s="45"/>
      <c r="F42" s="152"/>
      <c r="G42" s="45"/>
      <c r="H42" s="45"/>
      <c r="I42" s="152"/>
      <c r="J42" s="45"/>
      <c r="K42" s="152"/>
      <c r="L42" s="45"/>
      <c r="M42" s="45"/>
      <c r="N42" s="155"/>
      <c r="O42" s="45"/>
      <c r="P42" s="152"/>
      <c r="Q42" s="152"/>
      <c r="R42" s="152"/>
      <c r="S42" s="525"/>
      <c r="T42" s="11"/>
      <c r="U42" s="11"/>
      <c r="V42" s="18"/>
      <c r="W42" s="18"/>
      <c r="X42" s="18"/>
      <c r="Y42" s="18"/>
      <c r="Z42" s="18"/>
      <c r="AA42" s="18"/>
      <c r="AB42" s="18"/>
      <c r="AC42" s="18"/>
      <c r="AD42" s="18"/>
      <c r="AE42" s="18"/>
    </row>
    <row r="43" spans="1:31" s="326" customFormat="1" ht="15" customHeight="1">
      <c r="A43" s="282" t="str">
        <f>1!A46</f>
        <v>1.3</v>
      </c>
      <c r="B43" s="150" t="str">
        <f>1!B46</f>
        <v>Прочие инвестиционные проекты, всего, в том числе:</v>
      </c>
      <c r="C43" s="149" t="str">
        <f>1!C46</f>
        <v>Г</v>
      </c>
      <c r="D43" s="153">
        <f>SUM(D44:D46)</f>
        <v>2.969534</v>
      </c>
      <c r="E43" s="45"/>
      <c r="F43" s="153">
        <f>SUM(F44:F46)</f>
        <v>2.969534</v>
      </c>
      <c r="G43" s="151"/>
      <c r="H43" s="151"/>
      <c r="I43" s="153">
        <f>SUM(I44:I46)</f>
        <v>2.969534</v>
      </c>
      <c r="J43" s="151"/>
      <c r="K43" s="153">
        <f>SUM(K44:K46)</f>
        <v>2.4251556335593216</v>
      </c>
      <c r="L43" s="151"/>
      <c r="M43" s="151"/>
      <c r="N43" s="154"/>
      <c r="O43" s="45" t="s">
        <v>368</v>
      </c>
      <c r="P43" s="153">
        <f>SUM(P44:P46)</f>
        <v>0</v>
      </c>
      <c r="Q43" s="153">
        <f>SUM(Q44:Q46)</f>
        <v>0</v>
      </c>
      <c r="R43" s="153">
        <f>SUM(R44:R46)</f>
        <v>0</v>
      </c>
      <c r="S43" s="524">
        <f>SUM(S44:S46)</f>
        <v>0</v>
      </c>
      <c r="T43" s="330"/>
      <c r="U43" s="330"/>
      <c r="V43" s="327"/>
      <c r="W43" s="327"/>
      <c r="X43" s="327"/>
      <c r="Y43" s="327"/>
      <c r="Z43" s="327"/>
      <c r="AA43" s="327"/>
      <c r="AB43" s="327"/>
      <c r="AC43" s="327"/>
      <c r="AD43" s="327"/>
      <c r="AE43" s="327"/>
    </row>
    <row r="44" spans="1:31" s="163" customFormat="1" ht="15" customHeight="1">
      <c r="A44" s="281" t="str">
        <f>1!A47</f>
        <v>1.3</v>
      </c>
      <c r="B44" s="148" t="str">
        <f>1!B47</f>
        <v>Внутренний контур системы коммерческого учёта АСКУЭ   в   ТП-40; 15; 185; 28; 9  и  РП-3; 4; 5; 6.</v>
      </c>
      <c r="C44" s="100" t="str">
        <f>1!C47</f>
        <v>G_Gelezno_011</v>
      </c>
      <c r="D44" s="152">
        <f>2!I43</f>
        <v>1.299534</v>
      </c>
      <c r="E44" s="45" t="s">
        <v>412</v>
      </c>
      <c r="F44" s="152">
        <f>G44+H44+I44+J44</f>
        <v>1.299534</v>
      </c>
      <c r="G44" s="45"/>
      <c r="H44" s="45"/>
      <c r="I44" s="522">
        <f>D44</f>
        <v>1.299534</v>
      </c>
      <c r="J44" s="373"/>
      <c r="K44" s="522">
        <f>3!I46</f>
        <v>1.05535648</v>
      </c>
      <c r="L44" s="45">
        <v>2017</v>
      </c>
      <c r="M44" s="45"/>
      <c r="N44" s="155"/>
      <c r="O44" s="45"/>
      <c r="P44" s="152"/>
      <c r="Q44" s="152"/>
      <c r="R44" s="152"/>
      <c r="S44" s="525"/>
      <c r="T44" s="11"/>
      <c r="U44" s="11"/>
      <c r="V44" s="18"/>
      <c r="W44" s="18"/>
      <c r="X44" s="18"/>
      <c r="Y44" s="18"/>
      <c r="Z44" s="18"/>
      <c r="AA44" s="18"/>
      <c r="AB44" s="18"/>
      <c r="AC44" s="18"/>
      <c r="AD44" s="18"/>
      <c r="AE44" s="18"/>
    </row>
    <row r="45" spans="1:31" s="163" customFormat="1" ht="15" customHeight="1">
      <c r="A45" s="281" t="str">
        <f>1!A48</f>
        <v>1.3</v>
      </c>
      <c r="B45" s="148" t="str">
        <f>1!B48</f>
        <v>Оборудование, не требующее монтажа</v>
      </c>
      <c r="C45" s="100" t="str">
        <f>1!C48</f>
        <v>G_Gelezno_012</v>
      </c>
      <c r="D45" s="152">
        <f>2!I44</f>
        <v>1.67</v>
      </c>
      <c r="E45" s="45" t="s">
        <v>412</v>
      </c>
      <c r="F45" s="152">
        <f>G45+H45+I45+J45</f>
        <v>1.67</v>
      </c>
      <c r="G45" s="45"/>
      <c r="H45" s="45"/>
      <c r="I45" s="522">
        <f>D45</f>
        <v>1.67</v>
      </c>
      <c r="J45" s="373"/>
      <c r="K45" s="522">
        <f>3!I47</f>
        <v>1.369799153559322</v>
      </c>
      <c r="L45" s="45">
        <v>2017</v>
      </c>
      <c r="M45" s="45"/>
      <c r="N45" s="155"/>
      <c r="O45" s="45"/>
      <c r="P45" s="152"/>
      <c r="Q45" s="152"/>
      <c r="R45" s="152"/>
      <c r="S45" s="525"/>
      <c r="T45" s="11"/>
      <c r="U45" s="11"/>
      <c r="V45" s="18"/>
      <c r="W45" s="18"/>
      <c r="X45" s="18"/>
      <c r="Y45" s="18"/>
      <c r="Z45" s="18"/>
      <c r="AA45" s="18"/>
      <c r="AB45" s="18"/>
      <c r="AC45" s="18"/>
      <c r="AD45" s="18"/>
      <c r="AE45" s="18"/>
    </row>
    <row r="46" spans="1:31" s="163" customFormat="1" ht="9.75" customHeight="1">
      <c r="A46" s="281"/>
      <c r="B46" s="148"/>
      <c r="C46" s="100"/>
      <c r="D46" s="152"/>
      <c r="E46" s="45"/>
      <c r="F46" s="152"/>
      <c r="G46" s="45"/>
      <c r="H46" s="45"/>
      <c r="I46" s="152"/>
      <c r="J46" s="45"/>
      <c r="K46" s="152"/>
      <c r="L46" s="45"/>
      <c r="M46" s="45"/>
      <c r="N46" s="155"/>
      <c r="O46" s="45"/>
      <c r="P46" s="152"/>
      <c r="Q46" s="152"/>
      <c r="R46" s="152"/>
      <c r="S46" s="525"/>
      <c r="T46" s="11"/>
      <c r="U46" s="11"/>
      <c r="V46" s="18"/>
      <c r="W46" s="18"/>
      <c r="X46" s="18"/>
      <c r="Y46" s="18"/>
      <c r="Z46" s="18"/>
      <c r="AA46" s="18"/>
      <c r="AB46" s="18"/>
      <c r="AC46" s="18"/>
      <c r="AD46" s="18"/>
      <c r="AE46" s="18"/>
    </row>
    <row r="47" spans="1:31" s="326" customFormat="1" ht="15" customHeight="1">
      <c r="A47" s="282" t="str">
        <f>1!A50</f>
        <v>1.4</v>
      </c>
      <c r="B47" s="150" t="str">
        <f>1!B50</f>
        <v>Новое строительство, всего, в том числе:</v>
      </c>
      <c r="C47" s="149" t="str">
        <f>1!C50</f>
        <v>Г</v>
      </c>
      <c r="D47" s="153">
        <f>D48+D50</f>
        <v>19.9770376152</v>
      </c>
      <c r="E47" s="45"/>
      <c r="F47" s="153">
        <f>F48+F50</f>
        <v>19.9770376152</v>
      </c>
      <c r="G47" s="151"/>
      <c r="H47" s="151"/>
      <c r="I47" s="153">
        <f>I48+I50</f>
        <v>7.42196984</v>
      </c>
      <c r="J47" s="151"/>
      <c r="K47" s="153">
        <f>K48+K50</f>
        <v>17.52070265</v>
      </c>
      <c r="L47" s="151"/>
      <c r="M47" s="151"/>
      <c r="N47" s="154"/>
      <c r="O47" s="45" t="s">
        <v>368</v>
      </c>
      <c r="P47" s="153">
        <f>SUM(P51:P94)</f>
        <v>0</v>
      </c>
      <c r="Q47" s="153">
        <f>Q48+Q50</f>
        <v>1.38</v>
      </c>
      <c r="R47" s="153">
        <f>SUM(R51:R94)</f>
        <v>0</v>
      </c>
      <c r="S47" s="524">
        <f>S48+S50</f>
        <v>7.872</v>
      </c>
      <c r="T47" s="330"/>
      <c r="U47" s="330"/>
      <c r="V47" s="327"/>
      <c r="W47" s="327"/>
      <c r="X47" s="327"/>
      <c r="Y47" s="327"/>
      <c r="Z47" s="327"/>
      <c r="AA47" s="327"/>
      <c r="AB47" s="327"/>
      <c r="AC47" s="327"/>
      <c r="AD47" s="327"/>
      <c r="AE47" s="327"/>
    </row>
    <row r="48" spans="1:31" s="326" customFormat="1" ht="15.75">
      <c r="A48" s="282" t="str">
        <f>1!A51</f>
        <v>1.4.1</v>
      </c>
      <c r="B48" s="150" t="str">
        <f>1!B51</f>
        <v>Прочее новое строительство объектов электросетевого хозяйства</v>
      </c>
      <c r="C48" s="100"/>
      <c r="D48" s="521">
        <f>D49</f>
        <v>7.42196984</v>
      </c>
      <c r="E48" s="45"/>
      <c r="F48" s="521">
        <f>F49</f>
        <v>7.42196984</v>
      </c>
      <c r="G48" s="45"/>
      <c r="H48" s="45"/>
      <c r="I48" s="521">
        <f>I49</f>
        <v>7.42196984</v>
      </c>
      <c r="J48" s="373"/>
      <c r="K48" s="521">
        <f>K49</f>
        <v>6.46007275</v>
      </c>
      <c r="L48" s="45"/>
      <c r="M48" s="45"/>
      <c r="N48" s="331"/>
      <c r="O48" s="45"/>
      <c r="P48" s="152"/>
      <c r="Q48" s="152"/>
      <c r="R48" s="152"/>
      <c r="S48" s="524">
        <f>S49</f>
        <v>2.244</v>
      </c>
      <c r="T48" s="330"/>
      <c r="U48" s="330"/>
      <c r="V48" s="327"/>
      <c r="W48" s="327"/>
      <c r="X48" s="327"/>
      <c r="Y48" s="327"/>
      <c r="Z48" s="327"/>
      <c r="AA48" s="327"/>
      <c r="AB48" s="327"/>
      <c r="AC48" s="327"/>
      <c r="AD48" s="327"/>
      <c r="AE48" s="327"/>
    </row>
    <row r="49" spans="1:31" s="326" customFormat="1" ht="78.75">
      <c r="A49" s="281" t="str">
        <f>1!A52</f>
        <v>1.4.1.1</v>
      </c>
      <c r="B49" s="148" t="str">
        <f>1!B52</f>
        <v>Строительство КЛ-10 кВ, Ф-187(С-2) от ПС"Машук" до ТП-187, п.Иноземцево , L=2,244 км (ААБлУ 3х240)</v>
      </c>
      <c r="C49" s="100" t="str">
        <f>1!C52</f>
        <v>G_Gelezno_013</v>
      </c>
      <c r="D49" s="152">
        <f>2!I48</f>
        <v>7.42196984</v>
      </c>
      <c r="E49" s="45" t="s">
        <v>412</v>
      </c>
      <c r="F49" s="522">
        <f>G49+H49+I49+J49</f>
        <v>7.42196984</v>
      </c>
      <c r="G49" s="45"/>
      <c r="H49" s="45"/>
      <c r="I49" s="522">
        <f>D49</f>
        <v>7.42196984</v>
      </c>
      <c r="J49" s="373"/>
      <c r="K49" s="522">
        <f>3!I51</f>
        <v>6.46007275</v>
      </c>
      <c r="L49" s="45">
        <v>2017</v>
      </c>
      <c r="M49" s="45"/>
      <c r="N49" s="331" t="s">
        <v>248</v>
      </c>
      <c r="O49" s="45" t="s">
        <v>368</v>
      </c>
      <c r="P49" s="152"/>
      <c r="Q49" s="152"/>
      <c r="R49" s="152"/>
      <c r="S49" s="525">
        <f>4!J54</f>
        <v>2.244</v>
      </c>
      <c r="T49" s="330"/>
      <c r="U49" s="330"/>
      <c r="V49" s="327"/>
      <c r="W49" s="327"/>
      <c r="X49" s="327"/>
      <c r="Y49" s="327"/>
      <c r="Z49" s="327"/>
      <c r="AA49" s="327"/>
      <c r="AB49" s="327"/>
      <c r="AC49" s="327"/>
      <c r="AD49" s="327"/>
      <c r="AE49" s="327"/>
    </row>
    <row r="50" spans="1:31" s="326" customFormat="1" ht="15.75">
      <c r="A50" s="282" t="str">
        <f>1!A53</f>
        <v>1.4.2</v>
      </c>
      <c r="B50" s="150" t="str">
        <f>1!B53</f>
        <v>Прочее новое строительство, в счёт тех.присоединений</v>
      </c>
      <c r="C50" s="100"/>
      <c r="D50" s="153">
        <f>SUM(D51:D87)</f>
        <v>12.555067775200001</v>
      </c>
      <c r="E50" s="45"/>
      <c r="F50" s="153">
        <f>SUM(F51:F87)</f>
        <v>12.555067775200001</v>
      </c>
      <c r="G50" s="45"/>
      <c r="H50" s="45"/>
      <c r="I50" s="153">
        <f>SUM(I51:I87)</f>
        <v>0</v>
      </c>
      <c r="J50" s="153">
        <f>SUM(J51:J87)</f>
        <v>12.555067775200001</v>
      </c>
      <c r="K50" s="153">
        <f>SUM(K51:K87)</f>
        <v>11.0606299</v>
      </c>
      <c r="L50" s="45"/>
      <c r="M50" s="45"/>
      <c r="N50" s="331"/>
      <c r="O50" s="45"/>
      <c r="P50" s="152"/>
      <c r="Q50" s="153">
        <f>SUM(Q51:Q87)</f>
        <v>1.38</v>
      </c>
      <c r="R50" s="152"/>
      <c r="S50" s="153">
        <f>SUM(S51:S87)</f>
        <v>5.628</v>
      </c>
      <c r="T50" s="330"/>
      <c r="U50" s="330"/>
      <c r="V50" s="327"/>
      <c r="W50" s="327"/>
      <c r="X50" s="327"/>
      <c r="Y50" s="327"/>
      <c r="Z50" s="327"/>
      <c r="AA50" s="327"/>
      <c r="AB50" s="327"/>
      <c r="AC50" s="327"/>
      <c r="AD50" s="327"/>
      <c r="AE50" s="327"/>
    </row>
    <row r="51" spans="1:31" s="163" customFormat="1" ht="82.5" customHeight="1">
      <c r="A51" s="281" t="str">
        <f>1!A54</f>
        <v>1.4.2.1</v>
      </c>
      <c r="B51" s="355" t="str">
        <f>1!B54</f>
        <v>Строительство ВЛ-0,4 кВ от РУ-0,4 кВ ТП-185 до ВРУ офисного здания ул.Пушкина,2А, п.Иноземцево, L=0,235 км (СИП-2 3х50+1х54)</v>
      </c>
      <c r="C51" s="100" t="str">
        <f>1!C54</f>
        <v>G_Gelezno_ТР1</v>
      </c>
      <c r="D51" s="152">
        <f>2!I50</f>
        <v>0.1894922824</v>
      </c>
      <c r="E51" s="45" t="s">
        <v>412</v>
      </c>
      <c r="F51" s="152">
        <f aca="true" t="shared" si="2" ref="F51:F87">G51+H51+I51+J51</f>
        <v>0.1894922824</v>
      </c>
      <c r="G51" s="45"/>
      <c r="H51" s="45"/>
      <c r="I51" s="152"/>
      <c r="J51" s="152">
        <f>D51</f>
        <v>0.1894922824</v>
      </c>
      <c r="K51" s="152">
        <f>F51/1.18</f>
        <v>0.16058668</v>
      </c>
      <c r="L51" s="45">
        <v>2017</v>
      </c>
      <c r="M51" s="45"/>
      <c r="N51" s="331" t="s">
        <v>248</v>
      </c>
      <c r="O51" s="45" t="s">
        <v>368</v>
      </c>
      <c r="P51" s="152"/>
      <c r="Q51" s="152"/>
      <c r="R51" s="152"/>
      <c r="S51" s="525">
        <f>4!J56</f>
        <v>0.235</v>
      </c>
      <c r="T51" s="11"/>
      <c r="U51" s="11"/>
      <c r="V51" s="18"/>
      <c r="W51" s="18"/>
      <c r="X51" s="18"/>
      <c r="Y51" s="18"/>
      <c r="Z51" s="18"/>
      <c r="AA51" s="18"/>
      <c r="AB51" s="18"/>
      <c r="AC51" s="18"/>
      <c r="AD51" s="18"/>
      <c r="AE51" s="18"/>
    </row>
    <row r="52" spans="1:31" s="163" customFormat="1" ht="82.5" customHeight="1">
      <c r="A52" s="281" t="str">
        <f>1!A55</f>
        <v>1.4.2.2</v>
      </c>
      <c r="B52" s="355" t="str">
        <f>1!B55</f>
        <v>Строительство КЛ-0,4 кВ от РУ-0,4 кВ ТП-18 (С1) до ВРУ МКЖД ул.Косякина (район дома № 49), г.Железноводск, (Линия 1), L=0,143 км (ААБл 4х120)</v>
      </c>
      <c r="C52" s="100" t="str">
        <f>1!C55</f>
        <v>G_Gelezno_ТР2</v>
      </c>
      <c r="D52" s="152">
        <f>2!I51</f>
        <v>0.1978808434</v>
      </c>
      <c r="E52" s="45" t="s">
        <v>412</v>
      </c>
      <c r="F52" s="152">
        <f t="shared" si="2"/>
        <v>0.1978808434</v>
      </c>
      <c r="G52" s="45"/>
      <c r="H52" s="45"/>
      <c r="I52" s="152"/>
      <c r="J52" s="152">
        <f aca="true" t="shared" si="3" ref="J52:J87">D52</f>
        <v>0.1978808434</v>
      </c>
      <c r="K52" s="152">
        <f aca="true" t="shared" si="4" ref="K52:K87">F52/1.18</f>
        <v>0.16769563</v>
      </c>
      <c r="L52" s="45">
        <v>2017</v>
      </c>
      <c r="M52" s="45"/>
      <c r="N52" s="331" t="s">
        <v>248</v>
      </c>
      <c r="O52" s="45" t="s">
        <v>368</v>
      </c>
      <c r="P52" s="152"/>
      <c r="Q52" s="152"/>
      <c r="R52" s="152"/>
      <c r="S52" s="525">
        <f>4!J57</f>
        <v>0.143</v>
      </c>
      <c r="T52" s="11"/>
      <c r="U52" s="11"/>
      <c r="V52" s="18"/>
      <c r="W52" s="18"/>
      <c r="X52" s="18"/>
      <c r="Y52" s="18"/>
      <c r="Z52" s="18"/>
      <c r="AA52" s="18"/>
      <c r="AB52" s="18"/>
      <c r="AC52" s="18"/>
      <c r="AD52" s="18"/>
      <c r="AE52" s="18"/>
    </row>
    <row r="53" spans="1:31" s="163" customFormat="1" ht="82.5" customHeight="1">
      <c r="A53" s="281" t="str">
        <f>1!A56</f>
        <v>1.4.2.3</v>
      </c>
      <c r="B53" s="355" t="str">
        <f>1!B56</f>
        <v>Строительство КЛ-0,4 кВ от РУ-0,4 кВ ТП-18 (С2) до ВРУ МКЖД ул.Косякина (район дома № 49), г.Железноводск, (Линия 2), L=0,143 км (ААБл 4х120)</v>
      </c>
      <c r="C53" s="100" t="str">
        <f>1!C56</f>
        <v>G_Gelezno_ТР3</v>
      </c>
      <c r="D53" s="152">
        <f>2!I52</f>
        <v>0.1763001656</v>
      </c>
      <c r="E53" s="45" t="s">
        <v>412</v>
      </c>
      <c r="F53" s="152">
        <f t="shared" si="2"/>
        <v>0.1763001656</v>
      </c>
      <c r="G53" s="45"/>
      <c r="H53" s="45"/>
      <c r="I53" s="152"/>
      <c r="J53" s="152">
        <f t="shared" si="3"/>
        <v>0.1763001656</v>
      </c>
      <c r="K53" s="152">
        <f t="shared" si="4"/>
        <v>0.14940692</v>
      </c>
      <c r="L53" s="45">
        <v>2017</v>
      </c>
      <c r="M53" s="45"/>
      <c r="N53" s="331" t="s">
        <v>248</v>
      </c>
      <c r="O53" s="45" t="s">
        <v>368</v>
      </c>
      <c r="P53" s="152"/>
      <c r="Q53" s="152"/>
      <c r="R53" s="152"/>
      <c r="S53" s="525">
        <f>4!J58</f>
        <v>0.143</v>
      </c>
      <c r="T53" s="11"/>
      <c r="U53" s="11"/>
      <c r="V53" s="18"/>
      <c r="W53" s="18"/>
      <c r="X53" s="18"/>
      <c r="Y53" s="18"/>
      <c r="Z53" s="18"/>
      <c r="AA53" s="18"/>
      <c r="AB53" s="18"/>
      <c r="AC53" s="18"/>
      <c r="AD53" s="18"/>
      <c r="AE53" s="18"/>
    </row>
    <row r="54" spans="1:31" s="163" customFormat="1" ht="82.5" customHeight="1">
      <c r="A54" s="281" t="str">
        <f>1!A57</f>
        <v>1.4.2.4</v>
      </c>
      <c r="B54" s="355" t="str">
        <f>1!B57</f>
        <v>Строительство КТП-247 в районе озера "Карас", п.Иноземцево (250 кВА)</v>
      </c>
      <c r="C54" s="100" t="str">
        <f>1!C57</f>
        <v>G_Gelezno_ТР4</v>
      </c>
      <c r="D54" s="152">
        <f>2!I53</f>
        <v>0.9733345522</v>
      </c>
      <c r="E54" s="45" t="s">
        <v>412</v>
      </c>
      <c r="F54" s="152">
        <f t="shared" si="2"/>
        <v>0.9733345522</v>
      </c>
      <c r="G54" s="45"/>
      <c r="H54" s="45"/>
      <c r="I54" s="152"/>
      <c r="J54" s="152">
        <f t="shared" si="3"/>
        <v>0.9733345522</v>
      </c>
      <c r="K54" s="152">
        <f t="shared" si="4"/>
        <v>0.82485979</v>
      </c>
      <c r="L54" s="45">
        <v>2017</v>
      </c>
      <c r="M54" s="45"/>
      <c r="N54" s="331" t="s">
        <v>248</v>
      </c>
      <c r="O54" s="45" t="s">
        <v>368</v>
      </c>
      <c r="P54" s="152"/>
      <c r="Q54" s="152">
        <f>4!H59</f>
        <v>0.25</v>
      </c>
      <c r="R54" s="152"/>
      <c r="S54" s="525"/>
      <c r="T54" s="11"/>
      <c r="U54" s="11"/>
      <c r="V54" s="18"/>
      <c r="W54" s="18"/>
      <c r="X54" s="18"/>
      <c r="Y54" s="18"/>
      <c r="Z54" s="18"/>
      <c r="AA54" s="18"/>
      <c r="AB54" s="18"/>
      <c r="AC54" s="18"/>
      <c r="AD54" s="18"/>
      <c r="AE54" s="18"/>
    </row>
    <row r="55" spans="1:31" s="163" customFormat="1" ht="82.5" customHeight="1">
      <c r="A55" s="281" t="str">
        <f>1!A58</f>
        <v>1.4.2.5</v>
      </c>
      <c r="B55" s="355"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55" s="100" t="str">
        <f>1!C58</f>
        <v>G_Gelezno_ТР5</v>
      </c>
      <c r="D55" s="152">
        <f>2!I54</f>
        <v>0.0999055968</v>
      </c>
      <c r="E55" s="45" t="s">
        <v>412</v>
      </c>
      <c r="F55" s="152">
        <f t="shared" si="2"/>
        <v>0.0999055968</v>
      </c>
      <c r="G55" s="45"/>
      <c r="H55" s="45"/>
      <c r="I55" s="152"/>
      <c r="J55" s="152">
        <f t="shared" si="3"/>
        <v>0.0999055968</v>
      </c>
      <c r="K55" s="152">
        <f t="shared" si="4"/>
        <v>0.08466576</v>
      </c>
      <c r="L55" s="45">
        <v>2017</v>
      </c>
      <c r="M55" s="45"/>
      <c r="N55" s="331" t="s">
        <v>248</v>
      </c>
      <c r="O55" s="45" t="s">
        <v>368</v>
      </c>
      <c r="P55" s="152"/>
      <c r="Q55" s="152"/>
      <c r="R55" s="152"/>
      <c r="S55" s="525">
        <f>4!J60</f>
        <v>0.11</v>
      </c>
      <c r="T55" s="11"/>
      <c r="U55" s="11"/>
      <c r="V55" s="18"/>
      <c r="W55" s="18"/>
      <c r="X55" s="18"/>
      <c r="Y55" s="18"/>
      <c r="Z55" s="18"/>
      <c r="AA55" s="18"/>
      <c r="AB55" s="18"/>
      <c r="AC55" s="18"/>
      <c r="AD55" s="18"/>
      <c r="AE55" s="18"/>
    </row>
    <row r="56" spans="1:31" s="163" customFormat="1" ht="82.5" customHeight="1">
      <c r="A56" s="281" t="str">
        <f>1!A59</f>
        <v>1.4.2.6</v>
      </c>
      <c r="B56" s="355" t="str">
        <f>1!B59</f>
        <v>Строительство КЛ-10 кВ от РУ-10 кВ КТП-224 до КТП-247, п.Иноземцево, L=0,918 км (АСБ 3х120)</v>
      </c>
      <c r="C56" s="100" t="str">
        <f>1!C59</f>
        <v>G_Gelezno_ТР6</v>
      </c>
      <c r="D56" s="152">
        <f>2!I55</f>
        <v>2.3962422958</v>
      </c>
      <c r="E56" s="45" t="s">
        <v>412</v>
      </c>
      <c r="F56" s="152">
        <f t="shared" si="2"/>
        <v>2.3962422958</v>
      </c>
      <c r="G56" s="45"/>
      <c r="H56" s="45"/>
      <c r="I56" s="152"/>
      <c r="J56" s="152">
        <f t="shared" si="3"/>
        <v>2.3962422958</v>
      </c>
      <c r="K56" s="152">
        <f t="shared" si="4"/>
        <v>2.03071381</v>
      </c>
      <c r="L56" s="45">
        <v>2017</v>
      </c>
      <c r="M56" s="45"/>
      <c r="N56" s="331" t="s">
        <v>248</v>
      </c>
      <c r="O56" s="45" t="s">
        <v>368</v>
      </c>
      <c r="P56" s="152"/>
      <c r="Q56" s="152"/>
      <c r="R56" s="152"/>
      <c r="S56" s="525">
        <f>4!J61</f>
        <v>0.918</v>
      </c>
      <c r="T56" s="11"/>
      <c r="U56" s="11"/>
      <c r="V56" s="18"/>
      <c r="W56" s="18"/>
      <c r="X56" s="18"/>
      <c r="Y56" s="18"/>
      <c r="Z56" s="18"/>
      <c r="AA56" s="18"/>
      <c r="AB56" s="18"/>
      <c r="AC56" s="18"/>
      <c r="AD56" s="18"/>
      <c r="AE56" s="18"/>
    </row>
    <row r="57" spans="1:31" s="163" customFormat="1" ht="82.5" customHeight="1">
      <c r="A57" s="281" t="str">
        <f>1!A60</f>
        <v>1.4.2.7</v>
      </c>
      <c r="B57" s="355" t="str">
        <f>1!B60</f>
        <v>Строительство КЛ-0,4 кВ от РУ-0,4 кВ ТП-50 (С-1) до ВРУ МКЖД по ул.Ленина,49(линия 1), г.Железноводск, L=0,061 км (АВБбШв 4х240)</v>
      </c>
      <c r="C57" s="100" t="str">
        <f>1!C60</f>
        <v>G_Gelezno_ТР7</v>
      </c>
      <c r="D57" s="152">
        <f>2!I56</f>
        <v>0.16625404679999997</v>
      </c>
      <c r="E57" s="45" t="s">
        <v>412</v>
      </c>
      <c r="F57" s="152">
        <f t="shared" si="2"/>
        <v>0.16625404679999997</v>
      </c>
      <c r="G57" s="45"/>
      <c r="H57" s="45"/>
      <c r="I57" s="152"/>
      <c r="J57" s="152">
        <f t="shared" si="3"/>
        <v>0.16625404679999997</v>
      </c>
      <c r="K57" s="152">
        <f t="shared" si="4"/>
        <v>0.14089326</v>
      </c>
      <c r="L57" s="45">
        <v>2017</v>
      </c>
      <c r="M57" s="45"/>
      <c r="N57" s="331" t="s">
        <v>248</v>
      </c>
      <c r="O57" s="45" t="s">
        <v>368</v>
      </c>
      <c r="P57" s="152"/>
      <c r="Q57" s="152"/>
      <c r="R57" s="152"/>
      <c r="S57" s="525">
        <f>4!J62</f>
        <v>0.061</v>
      </c>
      <c r="T57" s="11"/>
      <c r="U57" s="11"/>
      <c r="V57" s="18"/>
      <c r="W57" s="18"/>
      <c r="X57" s="18"/>
      <c r="Y57" s="18"/>
      <c r="Z57" s="18"/>
      <c r="AA57" s="18"/>
      <c r="AB57" s="18"/>
      <c r="AC57" s="18"/>
      <c r="AD57" s="18"/>
      <c r="AE57" s="18"/>
    </row>
    <row r="58" spans="1:31" s="163" customFormat="1" ht="82.5" customHeight="1">
      <c r="A58" s="281" t="str">
        <f>1!A61</f>
        <v>1.4.2.8</v>
      </c>
      <c r="B58" s="355" t="str">
        <f>1!B61</f>
        <v>Строительство КЛ-0,4 кВ от РУ-0,4 кВ ТП-50(С-2) до ВРУ МКЖД по ул.Ленина,49(линия 2), г.Железноводск, L=0,061 км (АВБбШв 4х240)</v>
      </c>
      <c r="C58" s="100" t="str">
        <f>1!C61</f>
        <v>G_Gelezno_ТР8</v>
      </c>
      <c r="D58" s="152">
        <f>2!I57</f>
        <v>0.13101367719999998</v>
      </c>
      <c r="E58" s="45" t="s">
        <v>412</v>
      </c>
      <c r="F58" s="152">
        <f t="shared" si="2"/>
        <v>0.13101367719999998</v>
      </c>
      <c r="G58" s="45"/>
      <c r="H58" s="45"/>
      <c r="I58" s="152"/>
      <c r="J58" s="152">
        <f t="shared" si="3"/>
        <v>0.13101367719999998</v>
      </c>
      <c r="K58" s="152">
        <f t="shared" si="4"/>
        <v>0.11102854</v>
      </c>
      <c r="L58" s="45">
        <v>2017</v>
      </c>
      <c r="M58" s="45"/>
      <c r="N58" s="331" t="s">
        <v>248</v>
      </c>
      <c r="O58" s="45" t="s">
        <v>368</v>
      </c>
      <c r="P58" s="152"/>
      <c r="Q58" s="152"/>
      <c r="R58" s="152"/>
      <c r="S58" s="525">
        <f>4!J63</f>
        <v>0.061</v>
      </c>
      <c r="T58" s="11"/>
      <c r="U58" s="11"/>
      <c r="V58" s="18"/>
      <c r="W58" s="18"/>
      <c r="X58" s="18"/>
      <c r="Y58" s="18"/>
      <c r="Z58" s="18"/>
      <c r="AA58" s="18"/>
      <c r="AB58" s="18"/>
      <c r="AC58" s="18"/>
      <c r="AD58" s="18"/>
      <c r="AE58" s="18"/>
    </row>
    <row r="59" spans="1:31" s="163" customFormat="1" ht="82.5" customHeight="1">
      <c r="A59" s="281" t="str">
        <f>1!A62</f>
        <v>1.4.2.9</v>
      </c>
      <c r="B59" s="355" t="str">
        <f>1!B62</f>
        <v>Строительство КТП-105 ул.Октябрьская, 96 Б, п.Иноземцево (250 кВА)</v>
      </c>
      <c r="C59" s="100" t="str">
        <f>1!C62</f>
        <v>G_Gelezno_ТР9</v>
      </c>
      <c r="D59" s="152">
        <f>2!I58</f>
        <v>1.2286749174</v>
      </c>
      <c r="E59" s="45" t="s">
        <v>412</v>
      </c>
      <c r="F59" s="152">
        <f t="shared" si="2"/>
        <v>1.2286749174</v>
      </c>
      <c r="G59" s="45"/>
      <c r="H59" s="45"/>
      <c r="I59" s="152"/>
      <c r="J59" s="152">
        <f t="shared" si="3"/>
        <v>1.2286749174</v>
      </c>
      <c r="K59" s="152">
        <f t="shared" si="4"/>
        <v>1.04124993</v>
      </c>
      <c r="L59" s="45">
        <v>2017</v>
      </c>
      <c r="M59" s="45"/>
      <c r="N59" s="331" t="s">
        <v>248</v>
      </c>
      <c r="O59" s="45" t="s">
        <v>368</v>
      </c>
      <c r="P59" s="152"/>
      <c r="Q59" s="152">
        <f>4!H64</f>
        <v>0.25</v>
      </c>
      <c r="R59" s="152"/>
      <c r="S59" s="525"/>
      <c r="T59" s="11"/>
      <c r="U59" s="11"/>
      <c r="V59" s="18"/>
      <c r="W59" s="18"/>
      <c r="X59" s="18"/>
      <c r="Y59" s="18"/>
      <c r="Z59" s="18"/>
      <c r="AA59" s="18"/>
      <c r="AB59" s="18"/>
      <c r="AC59" s="18"/>
      <c r="AD59" s="18"/>
      <c r="AE59" s="18"/>
    </row>
    <row r="60" spans="1:31" s="163" customFormat="1" ht="82.5" customHeight="1">
      <c r="A60" s="281" t="str">
        <f>1!A63</f>
        <v>1.4.2.10</v>
      </c>
      <c r="B60" s="355" t="str">
        <f>1!B63</f>
        <v>Строительство КЛ-0,4 кВ от РП-2 (С-1) до ВРУ тренировочной площадки стадииона "Спартак" ул.Калинина,3 (линия 1), г.Железноводск, L= 0,245 км (АВБбШв 4х240)</v>
      </c>
      <c r="C60" s="100" t="str">
        <f>1!C63</f>
        <v>G_Gelezno_ТР10</v>
      </c>
      <c r="D60" s="152">
        <f>2!I59</f>
        <v>0.44961452679999997</v>
      </c>
      <c r="E60" s="45" t="s">
        <v>412</v>
      </c>
      <c r="F60" s="152">
        <f t="shared" si="2"/>
        <v>0.44961452679999997</v>
      </c>
      <c r="G60" s="45"/>
      <c r="H60" s="45"/>
      <c r="I60" s="152"/>
      <c r="J60" s="152">
        <f t="shared" si="3"/>
        <v>0.44961452679999997</v>
      </c>
      <c r="K60" s="152">
        <f t="shared" si="4"/>
        <v>0.38102926</v>
      </c>
      <c r="L60" s="45">
        <v>2017</v>
      </c>
      <c r="M60" s="45"/>
      <c r="N60" s="331" t="s">
        <v>248</v>
      </c>
      <c r="O60" s="45" t="s">
        <v>368</v>
      </c>
      <c r="P60" s="152"/>
      <c r="Q60" s="152"/>
      <c r="R60" s="152"/>
      <c r="S60" s="525">
        <f>4!J65</f>
        <v>0.245</v>
      </c>
      <c r="T60" s="11"/>
      <c r="U60" s="11"/>
      <c r="V60" s="18"/>
      <c r="W60" s="18"/>
      <c r="X60" s="18"/>
      <c r="Y60" s="18"/>
      <c r="Z60" s="18"/>
      <c r="AA60" s="18"/>
      <c r="AB60" s="18"/>
      <c r="AC60" s="18"/>
      <c r="AD60" s="18"/>
      <c r="AE60" s="18"/>
    </row>
    <row r="61" spans="1:31" s="163" customFormat="1" ht="82.5" customHeight="1">
      <c r="A61" s="281" t="str">
        <f>1!A64</f>
        <v>1.4.2.11</v>
      </c>
      <c r="B61" s="355" t="str">
        <f>1!B64</f>
        <v>Строительство КЛ-0,4 кВ от РП-2 (С-2) до ВРУ тренировочной площадки стадиона "Спартак" ул.Калинина,3 (линия 2), г.Железноводск, L= 0,245 км (АВБбШв 4х240)</v>
      </c>
      <c r="C61" s="100" t="str">
        <f>1!C64</f>
        <v>G_Gelezno_ТР11</v>
      </c>
      <c r="D61" s="152">
        <f>2!I60</f>
        <v>0.337243764</v>
      </c>
      <c r="E61" s="45" t="s">
        <v>412</v>
      </c>
      <c r="F61" s="152">
        <f t="shared" si="2"/>
        <v>0.337243764</v>
      </c>
      <c r="G61" s="45"/>
      <c r="H61" s="45"/>
      <c r="I61" s="152"/>
      <c r="J61" s="152">
        <f t="shared" si="3"/>
        <v>0.337243764</v>
      </c>
      <c r="K61" s="152">
        <f t="shared" si="4"/>
        <v>0.2857998</v>
      </c>
      <c r="L61" s="45">
        <v>2017</v>
      </c>
      <c r="M61" s="45"/>
      <c r="N61" s="331" t="s">
        <v>248</v>
      </c>
      <c r="O61" s="45" t="s">
        <v>368</v>
      </c>
      <c r="P61" s="152"/>
      <c r="Q61" s="152"/>
      <c r="R61" s="152"/>
      <c r="S61" s="525">
        <f>4!J66</f>
        <v>0.245</v>
      </c>
      <c r="T61" s="11"/>
      <c r="U61" s="11"/>
      <c r="V61" s="18"/>
      <c r="W61" s="18"/>
      <c r="X61" s="18"/>
      <c r="Y61" s="18"/>
      <c r="Z61" s="18"/>
      <c r="AA61" s="18"/>
      <c r="AB61" s="18"/>
      <c r="AC61" s="18"/>
      <c r="AD61" s="18"/>
      <c r="AE61" s="18"/>
    </row>
    <row r="62" spans="1:31" s="163" customFormat="1" ht="82.5" customHeight="1">
      <c r="A62" s="281" t="str">
        <f>1!A65</f>
        <v>1.4.2.12</v>
      </c>
      <c r="B62" s="355" t="str">
        <f>1!B65</f>
        <v>Строительство КТП-248 ул.Тихая,8, п.Иноземцево (ТМГ-250 кВА)</v>
      </c>
      <c r="C62" s="100" t="str">
        <f>1!C65</f>
        <v>G_Gelezno_ТР12</v>
      </c>
      <c r="D62" s="152">
        <f>2!I61</f>
        <v>1.0775656396</v>
      </c>
      <c r="E62" s="45" t="s">
        <v>412</v>
      </c>
      <c r="F62" s="152">
        <f t="shared" si="2"/>
        <v>1.0775656396</v>
      </c>
      <c r="G62" s="45"/>
      <c r="H62" s="45"/>
      <c r="I62" s="152"/>
      <c r="J62" s="152">
        <f t="shared" si="3"/>
        <v>1.0775656396</v>
      </c>
      <c r="K62" s="152">
        <f t="shared" si="4"/>
        <v>0.91319122</v>
      </c>
      <c r="L62" s="45">
        <v>2017</v>
      </c>
      <c r="M62" s="45"/>
      <c r="N62" s="331" t="s">
        <v>248</v>
      </c>
      <c r="O62" s="45" t="s">
        <v>368</v>
      </c>
      <c r="P62" s="152"/>
      <c r="Q62" s="152">
        <f>4!H67</f>
        <v>0.25</v>
      </c>
      <c r="R62" s="152"/>
      <c r="S62" s="525"/>
      <c r="T62" s="11"/>
      <c r="U62" s="11"/>
      <c r="V62" s="18"/>
      <c r="W62" s="18"/>
      <c r="X62" s="18"/>
      <c r="Y62" s="18"/>
      <c r="Z62" s="18"/>
      <c r="AA62" s="18"/>
      <c r="AB62" s="18"/>
      <c r="AC62" s="18"/>
      <c r="AD62" s="18"/>
      <c r="AE62" s="18"/>
    </row>
    <row r="63" spans="1:31" s="163" customFormat="1" ht="82.5" customHeight="1">
      <c r="A63" s="281" t="str">
        <f>1!A66</f>
        <v>1.4.2.13</v>
      </c>
      <c r="B63" s="355" t="str">
        <f>1!B66</f>
        <v>Строительство ВЛ-0,4 кВ от КТП-233 до ВРУ магазина ул.Вокзальная, 46А, п.Иноземцево, L= 0,408 км (СИП-2 3х50+1х54,6)</v>
      </c>
      <c r="C63" s="100" t="str">
        <f>1!C66</f>
        <v>G_Gelezno_ТР13</v>
      </c>
      <c r="D63" s="152">
        <f>2!I62</f>
        <v>0.20086124019999999</v>
      </c>
      <c r="E63" s="45" t="s">
        <v>412</v>
      </c>
      <c r="F63" s="152">
        <f t="shared" si="2"/>
        <v>0.20086124019999999</v>
      </c>
      <c r="G63" s="45"/>
      <c r="H63" s="45"/>
      <c r="I63" s="152"/>
      <c r="J63" s="152">
        <f t="shared" si="3"/>
        <v>0.20086124019999999</v>
      </c>
      <c r="K63" s="152">
        <f t="shared" si="4"/>
        <v>0.17022139</v>
      </c>
      <c r="L63" s="45">
        <v>2017</v>
      </c>
      <c r="M63" s="45"/>
      <c r="N63" s="331" t="s">
        <v>248</v>
      </c>
      <c r="O63" s="45" t="s">
        <v>368</v>
      </c>
      <c r="P63" s="152"/>
      <c r="Q63" s="152"/>
      <c r="R63" s="152"/>
      <c r="S63" s="525">
        <f>4!J68</f>
        <v>0.408</v>
      </c>
      <c r="T63" s="11"/>
      <c r="U63" s="11"/>
      <c r="V63" s="18"/>
      <c r="W63" s="18"/>
      <c r="X63" s="18"/>
      <c r="Y63" s="18"/>
      <c r="Z63" s="18"/>
      <c r="AA63" s="18"/>
      <c r="AB63" s="18"/>
      <c r="AC63" s="18"/>
      <c r="AD63" s="18"/>
      <c r="AE63" s="18"/>
    </row>
    <row r="64" spans="1:31" s="163" customFormat="1" ht="82.5" customHeight="1">
      <c r="A64" s="281" t="str">
        <f>1!A67</f>
        <v>1.4.2.14</v>
      </c>
      <c r="B64" s="355" t="str">
        <f>1!B67</f>
        <v>Строительство ВЛ-0,4 кВ от РУ-0,4кВ ТП-75 (С-1) по ул.Ленина район дома 123, г.Железноводск, L= 0,143 км (СИП-2 3х50+1х54,6)</v>
      </c>
      <c r="C64" s="100" t="str">
        <f>1!C67</f>
        <v>G_Gelezno_ТР14</v>
      </c>
      <c r="D64" s="152">
        <f>2!I63</f>
        <v>0.1110671224</v>
      </c>
      <c r="E64" s="45" t="s">
        <v>412</v>
      </c>
      <c r="F64" s="152">
        <f t="shared" si="2"/>
        <v>0.1110671224</v>
      </c>
      <c r="G64" s="45"/>
      <c r="H64" s="45"/>
      <c r="I64" s="152"/>
      <c r="J64" s="152">
        <f t="shared" si="3"/>
        <v>0.1110671224</v>
      </c>
      <c r="K64" s="152">
        <f t="shared" si="4"/>
        <v>0.09412468</v>
      </c>
      <c r="L64" s="45">
        <v>2017</v>
      </c>
      <c r="M64" s="45"/>
      <c r="N64" s="331" t="s">
        <v>248</v>
      </c>
      <c r="O64" s="45" t="s">
        <v>368</v>
      </c>
      <c r="P64" s="152"/>
      <c r="Q64" s="152"/>
      <c r="R64" s="152"/>
      <c r="S64" s="525">
        <f>4!J69</f>
        <v>0.143</v>
      </c>
      <c r="T64" s="11"/>
      <c r="U64" s="11"/>
      <c r="V64" s="18"/>
      <c r="W64" s="18"/>
      <c r="X64" s="18"/>
      <c r="Y64" s="18"/>
      <c r="Z64" s="18"/>
      <c r="AA64" s="18"/>
      <c r="AB64" s="18"/>
      <c r="AC64" s="18"/>
      <c r="AD64" s="18"/>
      <c r="AE64" s="18"/>
    </row>
    <row r="65" spans="1:31" s="163" customFormat="1" ht="82.5" customHeight="1">
      <c r="A65" s="281" t="str">
        <f>1!A68</f>
        <v>1.4.2.15</v>
      </c>
      <c r="B65" s="355" t="str">
        <f>1!B68</f>
        <v>Строительство ВЛ-0,4кВ от РУ-0,4 кВ ТП-75 (С-2) по ул.Ленина район дома 123, г.Железноводск, L= 0,143 км (СИП-2 3х50+1х54,6)</v>
      </c>
      <c r="C65" s="100" t="str">
        <f>1!C68</f>
        <v>G_Gelezno_ТР15</v>
      </c>
      <c r="D65" s="152">
        <f>2!I64</f>
        <v>0.0904478968</v>
      </c>
      <c r="E65" s="45" t="s">
        <v>412</v>
      </c>
      <c r="F65" s="152">
        <f t="shared" si="2"/>
        <v>0.0904478968</v>
      </c>
      <c r="G65" s="45"/>
      <c r="H65" s="45"/>
      <c r="I65" s="152"/>
      <c r="J65" s="152">
        <f t="shared" si="3"/>
        <v>0.0904478968</v>
      </c>
      <c r="K65" s="152">
        <f t="shared" si="4"/>
        <v>0.07665076</v>
      </c>
      <c r="L65" s="45">
        <v>2017</v>
      </c>
      <c r="M65" s="45"/>
      <c r="N65" s="331" t="s">
        <v>248</v>
      </c>
      <c r="O65" s="45" t="s">
        <v>368</v>
      </c>
      <c r="P65" s="152"/>
      <c r="Q65" s="152"/>
      <c r="R65" s="152"/>
      <c r="S65" s="525">
        <f>4!J70</f>
        <v>0.143</v>
      </c>
      <c r="T65" s="11"/>
      <c r="U65" s="11"/>
      <c r="V65" s="18"/>
      <c r="W65" s="18"/>
      <c r="X65" s="18"/>
      <c r="Y65" s="18"/>
      <c r="Z65" s="18"/>
      <c r="AA65" s="18"/>
      <c r="AB65" s="18"/>
      <c r="AC65" s="18"/>
      <c r="AD65" s="18"/>
      <c r="AE65" s="18"/>
    </row>
    <row r="66" spans="1:31" s="163" customFormat="1" ht="82.5" customHeight="1">
      <c r="A66" s="281" t="str">
        <f>1!A69</f>
        <v>1.4.2.16</v>
      </c>
      <c r="B66" s="355" t="str">
        <f>1!B69</f>
        <v>Строительство КЛ-0,4 кВ от ВРУ-1 до ВРУ-2 в ЖК "Вишнёвый сад" (2-ая очередь), п.Иноземцево, L= 0,04 км (АВБбШв 4х120)</v>
      </c>
      <c r="C66" s="100" t="str">
        <f>1!C69</f>
        <v>G_Gelezno_ТР16</v>
      </c>
      <c r="D66" s="152">
        <f>2!I65</f>
        <v>0.05238506</v>
      </c>
      <c r="E66" s="45" t="s">
        <v>412</v>
      </c>
      <c r="F66" s="152">
        <f t="shared" si="2"/>
        <v>0.05238506</v>
      </c>
      <c r="G66" s="45"/>
      <c r="H66" s="45"/>
      <c r="I66" s="152"/>
      <c r="J66" s="152">
        <f t="shared" si="3"/>
        <v>0.05238506</v>
      </c>
      <c r="K66" s="152">
        <f aca="true" t="shared" si="5" ref="K66:K75">F66</f>
        <v>0.05238506</v>
      </c>
      <c r="L66" s="45">
        <v>2017</v>
      </c>
      <c r="M66" s="45"/>
      <c r="N66" s="331" t="s">
        <v>248</v>
      </c>
      <c r="O66" s="45" t="s">
        <v>368</v>
      </c>
      <c r="P66" s="152"/>
      <c r="Q66" s="152"/>
      <c r="R66" s="152"/>
      <c r="S66" s="525">
        <f>4!J71</f>
        <v>0.04</v>
      </c>
      <c r="T66" s="11"/>
      <c r="U66" s="11"/>
      <c r="V66" s="18"/>
      <c r="W66" s="18"/>
      <c r="X66" s="18"/>
      <c r="Y66" s="18"/>
      <c r="Z66" s="18"/>
      <c r="AA66" s="18"/>
      <c r="AB66" s="18"/>
      <c r="AC66" s="18"/>
      <c r="AD66" s="18"/>
      <c r="AE66" s="18"/>
    </row>
    <row r="67" spans="1:31" s="163" customFormat="1" ht="82.5" customHeight="1">
      <c r="A67" s="281" t="str">
        <f>1!A70</f>
        <v>1.4.2.17</v>
      </c>
      <c r="B67" s="355" t="str">
        <f>1!B70</f>
        <v>Строительство КЛ-0,4кВ от ВРУ-11 до ВРУ-12 в ЖК"Вишнёвый сад" (2-ая очередь), п.Иноземцево, L= 0,035 км (АВБбШв 4х95)</v>
      </c>
      <c r="C67" s="100" t="str">
        <f>1!C70</f>
        <v>G_Gelezno_ТР17</v>
      </c>
      <c r="D67" s="152">
        <f>2!I66</f>
        <v>0.04696934</v>
      </c>
      <c r="E67" s="45" t="s">
        <v>412</v>
      </c>
      <c r="F67" s="152">
        <f t="shared" si="2"/>
        <v>0.04696934</v>
      </c>
      <c r="G67" s="45"/>
      <c r="H67" s="45"/>
      <c r="I67" s="152"/>
      <c r="J67" s="152">
        <f t="shared" si="3"/>
        <v>0.04696934</v>
      </c>
      <c r="K67" s="152">
        <f t="shared" si="5"/>
        <v>0.04696934</v>
      </c>
      <c r="L67" s="45">
        <v>2017</v>
      </c>
      <c r="M67" s="45"/>
      <c r="N67" s="331" t="s">
        <v>248</v>
      </c>
      <c r="O67" s="45" t="s">
        <v>368</v>
      </c>
      <c r="P67" s="152"/>
      <c r="Q67" s="152"/>
      <c r="R67" s="152"/>
      <c r="S67" s="525">
        <f>4!J72</f>
        <v>0.035</v>
      </c>
      <c r="T67" s="11"/>
      <c r="U67" s="11"/>
      <c r="V67" s="18"/>
      <c r="W67" s="18"/>
      <c r="X67" s="18"/>
      <c r="Y67" s="18"/>
      <c r="Z67" s="18"/>
      <c r="AA67" s="18"/>
      <c r="AB67" s="18"/>
      <c r="AC67" s="18"/>
      <c r="AD67" s="18"/>
      <c r="AE67" s="18"/>
    </row>
    <row r="68" spans="1:31" s="163" customFormat="1" ht="82.5" customHeight="1">
      <c r="A68" s="281" t="str">
        <f>1!A71</f>
        <v>1.4.2.18</v>
      </c>
      <c r="B68" s="355" t="str">
        <f>1!B71</f>
        <v>Строительство КЛ-0,4кВ от ВРУ-13 до ВРУ-14 в ЖК"Вишнёвый сад" (2-ая очередь), п.Иноземцево, L= 0,035 км (АВБбШв 4х95)</v>
      </c>
      <c r="C68" s="100" t="str">
        <f>1!C71</f>
        <v>G_Gelezno_ТР18</v>
      </c>
      <c r="D68" s="152">
        <f>2!I67</f>
        <v>0.04273267</v>
      </c>
      <c r="E68" s="45" t="s">
        <v>412</v>
      </c>
      <c r="F68" s="152">
        <f t="shared" si="2"/>
        <v>0.04273267</v>
      </c>
      <c r="G68" s="45"/>
      <c r="H68" s="45"/>
      <c r="I68" s="152"/>
      <c r="J68" s="152">
        <f t="shared" si="3"/>
        <v>0.04273267</v>
      </c>
      <c r="K68" s="152">
        <f t="shared" si="5"/>
        <v>0.04273267</v>
      </c>
      <c r="L68" s="45">
        <v>2017</v>
      </c>
      <c r="M68" s="45"/>
      <c r="N68" s="331" t="s">
        <v>248</v>
      </c>
      <c r="O68" s="45" t="s">
        <v>368</v>
      </c>
      <c r="P68" s="152"/>
      <c r="Q68" s="152"/>
      <c r="R68" s="152"/>
      <c r="S68" s="525">
        <f>4!J73</f>
        <v>0.035</v>
      </c>
      <c r="T68" s="11"/>
      <c r="U68" s="11"/>
      <c r="V68" s="18"/>
      <c r="W68" s="18"/>
      <c r="X68" s="18"/>
      <c r="Y68" s="18"/>
      <c r="Z68" s="18"/>
      <c r="AA68" s="18"/>
      <c r="AB68" s="18"/>
      <c r="AC68" s="18"/>
      <c r="AD68" s="18"/>
      <c r="AE68" s="18"/>
    </row>
    <row r="69" spans="1:31" s="163" customFormat="1" ht="82.5" customHeight="1">
      <c r="A69" s="281" t="str">
        <f>1!A72</f>
        <v>1.4.2.19</v>
      </c>
      <c r="B69" s="355" t="str">
        <f>1!B72</f>
        <v>Строительство КЛ-0,4 кВ от ВРУ-9 до ВРУ-10 в ЖК "Вишнёвый сад" (2-ая очередь), п.Иноземцево, L= 0,035 км (АВБбШв 4х95)</v>
      </c>
      <c r="C69" s="100" t="str">
        <f>1!C72</f>
        <v>G_Gelezno_ТР19</v>
      </c>
      <c r="D69" s="152">
        <f>2!I68</f>
        <v>0.04273267</v>
      </c>
      <c r="E69" s="45" t="s">
        <v>412</v>
      </c>
      <c r="F69" s="152">
        <f t="shared" si="2"/>
        <v>0.04273267</v>
      </c>
      <c r="G69" s="45"/>
      <c r="H69" s="45"/>
      <c r="I69" s="152"/>
      <c r="J69" s="152">
        <f t="shared" si="3"/>
        <v>0.04273267</v>
      </c>
      <c r="K69" s="152">
        <f t="shared" si="5"/>
        <v>0.04273267</v>
      </c>
      <c r="L69" s="45">
        <v>2017</v>
      </c>
      <c r="M69" s="45"/>
      <c r="N69" s="331" t="s">
        <v>248</v>
      </c>
      <c r="O69" s="45" t="s">
        <v>368</v>
      </c>
      <c r="P69" s="152"/>
      <c r="Q69" s="152"/>
      <c r="R69" s="152"/>
      <c r="S69" s="525">
        <f>4!J74</f>
        <v>0.035</v>
      </c>
      <c r="T69" s="11"/>
      <c r="U69" s="11"/>
      <c r="V69" s="18"/>
      <c r="W69" s="18"/>
      <c r="X69" s="18"/>
      <c r="Y69" s="18"/>
      <c r="Z69" s="18"/>
      <c r="AA69" s="18"/>
      <c r="AB69" s="18"/>
      <c r="AC69" s="18"/>
      <c r="AD69" s="18"/>
      <c r="AE69" s="18"/>
    </row>
    <row r="70" spans="1:31" s="163" customFormat="1" ht="82.5" customHeight="1">
      <c r="A70" s="281" t="str">
        <f>1!A73</f>
        <v>1.4.2.20</v>
      </c>
      <c r="B70" s="355" t="str">
        <f>1!B73</f>
        <v>Строительство КЛ-0,4 кВ от РУ-0,4 кВ 2КТП-244 до ВРУ-10 в ЖК "Вишнёвый сад" (2-ая очередь), п.Иноземцево, L= 0,19 км (АВБбШв 4х120)</v>
      </c>
      <c r="C70" s="100" t="str">
        <f>1!C73</f>
        <v>G_Gelezno_ТР20</v>
      </c>
      <c r="D70" s="152">
        <f>2!I69</f>
        <v>0.17617151</v>
      </c>
      <c r="E70" s="45" t="s">
        <v>412</v>
      </c>
      <c r="F70" s="152">
        <f t="shared" si="2"/>
        <v>0.17617151</v>
      </c>
      <c r="G70" s="45"/>
      <c r="H70" s="45"/>
      <c r="I70" s="152"/>
      <c r="J70" s="152">
        <f t="shared" si="3"/>
        <v>0.17617151</v>
      </c>
      <c r="K70" s="152">
        <f t="shared" si="5"/>
        <v>0.17617151</v>
      </c>
      <c r="L70" s="45">
        <v>2017</v>
      </c>
      <c r="M70" s="45"/>
      <c r="N70" s="331" t="s">
        <v>248</v>
      </c>
      <c r="O70" s="45" t="s">
        <v>368</v>
      </c>
      <c r="P70" s="152"/>
      <c r="Q70" s="152"/>
      <c r="R70" s="152"/>
      <c r="S70" s="525">
        <f>4!J75</f>
        <v>0.19</v>
      </c>
      <c r="T70" s="11"/>
      <c r="U70" s="11"/>
      <c r="V70" s="18"/>
      <c r="W70" s="18"/>
      <c r="X70" s="18"/>
      <c r="Y70" s="18"/>
      <c r="Z70" s="18"/>
      <c r="AA70" s="18"/>
      <c r="AB70" s="18"/>
      <c r="AC70" s="18"/>
      <c r="AD70" s="18"/>
      <c r="AE70" s="18"/>
    </row>
    <row r="71" spans="1:31" s="163" customFormat="1" ht="82.5" customHeight="1">
      <c r="A71" s="281" t="str">
        <f>1!A74</f>
        <v>1.4.2.21</v>
      </c>
      <c r="B71" s="355" t="str">
        <f>1!B74</f>
        <v>Строительство КЛ-0,4 кВ от РУ-0,4 кВ 2КТП-244 до ВРУ-11 в ЖК "Вишнёвый сад" (2-ая очередь), п.Иноземцево, L= 0,14 км (АВБбШв 4х95)</v>
      </c>
      <c r="C71" s="100" t="str">
        <f>1!C74</f>
        <v>G_Gelezno_ТР21</v>
      </c>
      <c r="D71" s="152">
        <f>2!I70</f>
        <v>0.13190507</v>
      </c>
      <c r="E71" s="45" t="s">
        <v>412</v>
      </c>
      <c r="F71" s="152">
        <f t="shared" si="2"/>
        <v>0.13190507</v>
      </c>
      <c r="G71" s="45"/>
      <c r="H71" s="45"/>
      <c r="I71" s="152"/>
      <c r="J71" s="152">
        <f t="shared" si="3"/>
        <v>0.13190507</v>
      </c>
      <c r="K71" s="152">
        <f t="shared" si="5"/>
        <v>0.13190507</v>
      </c>
      <c r="L71" s="45">
        <v>2017</v>
      </c>
      <c r="M71" s="45"/>
      <c r="N71" s="331" t="s">
        <v>248</v>
      </c>
      <c r="O71" s="45" t="s">
        <v>368</v>
      </c>
      <c r="P71" s="152"/>
      <c r="Q71" s="152"/>
      <c r="R71" s="152"/>
      <c r="S71" s="525">
        <f>4!J76</f>
        <v>0.14</v>
      </c>
      <c r="T71" s="11"/>
      <c r="U71" s="11"/>
      <c r="V71" s="18"/>
      <c r="W71" s="18"/>
      <c r="X71" s="18"/>
      <c r="Y71" s="18"/>
      <c r="Z71" s="18"/>
      <c r="AA71" s="18"/>
      <c r="AB71" s="18"/>
      <c r="AC71" s="18"/>
      <c r="AD71" s="18"/>
      <c r="AE71" s="18"/>
    </row>
    <row r="72" spans="1:31" s="163" customFormat="1" ht="82.5" customHeight="1">
      <c r="A72" s="281" t="str">
        <f>1!A75</f>
        <v>1.4.2.22</v>
      </c>
      <c r="B72" s="355" t="str">
        <f>1!B75</f>
        <v>Строительство КЛ-0,4 кВ от РУ-0,4 кВ 2КТП-244 до ВРУ-13 в ЖК "Вишнёвый сад" (2-ая очередь), п.Иноземцево, L= 0,06 км (АВБбШв 4х120)</v>
      </c>
      <c r="C72" s="100" t="str">
        <f>1!C75</f>
        <v>G_Gelezno_ТР22</v>
      </c>
      <c r="D72" s="152">
        <f>2!I71</f>
        <v>0.07768097</v>
      </c>
      <c r="E72" s="45" t="s">
        <v>412</v>
      </c>
      <c r="F72" s="152">
        <f t="shared" si="2"/>
        <v>0.07768097</v>
      </c>
      <c r="G72" s="45"/>
      <c r="H72" s="45"/>
      <c r="I72" s="152"/>
      <c r="J72" s="152">
        <f t="shared" si="3"/>
        <v>0.07768097</v>
      </c>
      <c r="K72" s="152">
        <f t="shared" si="5"/>
        <v>0.07768097</v>
      </c>
      <c r="L72" s="45">
        <v>2017</v>
      </c>
      <c r="M72" s="45"/>
      <c r="N72" s="331" t="s">
        <v>248</v>
      </c>
      <c r="O72" s="45" t="s">
        <v>368</v>
      </c>
      <c r="P72" s="152"/>
      <c r="Q72" s="152"/>
      <c r="R72" s="152"/>
      <c r="S72" s="525">
        <f>4!J77</f>
        <v>0.06</v>
      </c>
      <c r="T72" s="11"/>
      <c r="U72" s="11"/>
      <c r="V72" s="18"/>
      <c r="W72" s="18"/>
      <c r="X72" s="18"/>
      <c r="Y72" s="18"/>
      <c r="Z72" s="18"/>
      <c r="AA72" s="18"/>
      <c r="AB72" s="18"/>
      <c r="AC72" s="18"/>
      <c r="AD72" s="18"/>
      <c r="AE72" s="18"/>
    </row>
    <row r="73" spans="1:31" s="163" customFormat="1" ht="82.5" customHeight="1">
      <c r="A73" s="281" t="str">
        <f>1!A76</f>
        <v>1.4.2.23</v>
      </c>
      <c r="B73" s="355" t="str">
        <f>1!B76</f>
        <v>Строительство КЛ-0,4 кВ от РУ-0,4 кВ 2КТП-244 до ВРУ-14 в ЖК "Вишнёвый сад" (2-ая очередь), п.Иноземцево, L= 0,1 км (АВБбШв 4х120)</v>
      </c>
      <c r="C73" s="100" t="str">
        <f>1!C76</f>
        <v>G_Gelezno_ТР23</v>
      </c>
      <c r="D73" s="152">
        <f>2!I72</f>
        <v>0.10803812</v>
      </c>
      <c r="E73" s="45" t="s">
        <v>412</v>
      </c>
      <c r="F73" s="152">
        <f t="shared" si="2"/>
        <v>0.10803812</v>
      </c>
      <c r="G73" s="45"/>
      <c r="H73" s="45"/>
      <c r="I73" s="152"/>
      <c r="J73" s="152">
        <f t="shared" si="3"/>
        <v>0.10803812</v>
      </c>
      <c r="K73" s="152">
        <f t="shared" si="5"/>
        <v>0.10803812</v>
      </c>
      <c r="L73" s="45">
        <v>2017</v>
      </c>
      <c r="M73" s="45"/>
      <c r="N73" s="331" t="s">
        <v>248</v>
      </c>
      <c r="O73" s="45" t="s">
        <v>368</v>
      </c>
      <c r="P73" s="152"/>
      <c r="Q73" s="152"/>
      <c r="R73" s="152"/>
      <c r="S73" s="525">
        <f>4!J78</f>
        <v>0.1</v>
      </c>
      <c r="T73" s="11"/>
      <c r="U73" s="11"/>
      <c r="V73" s="18"/>
      <c r="W73" s="18"/>
      <c r="X73" s="18"/>
      <c r="Y73" s="18"/>
      <c r="Z73" s="18"/>
      <c r="AA73" s="18"/>
      <c r="AB73" s="18"/>
      <c r="AC73" s="18"/>
      <c r="AD73" s="18"/>
      <c r="AE73" s="18"/>
    </row>
    <row r="74" spans="1:31" s="163" customFormat="1" ht="82.5" customHeight="1">
      <c r="A74" s="281" t="str">
        <f>1!A77</f>
        <v>1.4.2.24</v>
      </c>
      <c r="B74" s="355" t="str">
        <f>1!B77</f>
        <v>Строительство КЛ-0,4 кВ от РУ-0,4 кВ 2КТП-244 до ВРУ-16 в ЖК "Вишнёвый сад" (2-ая очередь), п.Иноземцево, L= 0,11 км (АВБбШв 4х95)</v>
      </c>
      <c r="C74" s="100" t="str">
        <f>1!C77</f>
        <v>G_Gelezno_ТР24</v>
      </c>
      <c r="D74" s="152">
        <f>2!I73</f>
        <v>0.11052751</v>
      </c>
      <c r="E74" s="45" t="s">
        <v>412</v>
      </c>
      <c r="F74" s="152">
        <f t="shared" si="2"/>
        <v>0.11052751</v>
      </c>
      <c r="G74" s="45"/>
      <c r="H74" s="45"/>
      <c r="I74" s="152"/>
      <c r="J74" s="152">
        <f t="shared" si="3"/>
        <v>0.11052751</v>
      </c>
      <c r="K74" s="152">
        <f t="shared" si="5"/>
        <v>0.11052751</v>
      </c>
      <c r="L74" s="45">
        <v>2017</v>
      </c>
      <c r="M74" s="45"/>
      <c r="N74" s="331" t="s">
        <v>248</v>
      </c>
      <c r="O74" s="45" t="s">
        <v>368</v>
      </c>
      <c r="P74" s="152"/>
      <c r="Q74" s="152"/>
      <c r="R74" s="152"/>
      <c r="S74" s="525">
        <f>4!J79</f>
        <v>0.11</v>
      </c>
      <c r="T74" s="11"/>
      <c r="U74" s="11"/>
      <c r="V74" s="18"/>
      <c r="W74" s="18"/>
      <c r="X74" s="18"/>
      <c r="Y74" s="18"/>
      <c r="Z74" s="18"/>
      <c r="AA74" s="18"/>
      <c r="AB74" s="18"/>
      <c r="AC74" s="18"/>
      <c r="AD74" s="18"/>
      <c r="AE74" s="18"/>
    </row>
    <row r="75" spans="1:31" s="163" customFormat="1" ht="82.5" customHeight="1">
      <c r="A75" s="281" t="str">
        <f>1!A78</f>
        <v>1.4.2.25</v>
      </c>
      <c r="B75" s="355" t="str">
        <f>1!B78</f>
        <v>Строительство КЛ-0,4 кВ от РУ-0,4 кВ 2КТП-244 до ВРУ-9 в ЖК "Вишнёвый сад" (2-ая очередь), п.Иноземцево, L= 0,215 км (АВБбШв 4х120)</v>
      </c>
      <c r="C75" s="100" t="str">
        <f>1!C78</f>
        <v>G_Gelezno_ТР25</v>
      </c>
      <c r="D75" s="152">
        <f>2!I74</f>
        <v>0.19531445</v>
      </c>
      <c r="E75" s="45" t="s">
        <v>412</v>
      </c>
      <c r="F75" s="152">
        <f t="shared" si="2"/>
        <v>0.19531445</v>
      </c>
      <c r="G75" s="45"/>
      <c r="H75" s="45"/>
      <c r="I75" s="152"/>
      <c r="J75" s="152">
        <f t="shared" si="3"/>
        <v>0.19531445</v>
      </c>
      <c r="K75" s="152">
        <f t="shared" si="5"/>
        <v>0.19531445</v>
      </c>
      <c r="L75" s="45">
        <v>2017</v>
      </c>
      <c r="M75" s="45"/>
      <c r="N75" s="331" t="s">
        <v>248</v>
      </c>
      <c r="O75" s="45" t="s">
        <v>368</v>
      </c>
      <c r="P75" s="152"/>
      <c r="Q75" s="152"/>
      <c r="R75" s="152"/>
      <c r="S75" s="525">
        <f>4!J80</f>
        <v>0.215</v>
      </c>
      <c r="T75" s="11"/>
      <c r="U75" s="11"/>
      <c r="V75" s="18"/>
      <c r="W75" s="18"/>
      <c r="X75" s="18"/>
      <c r="Y75" s="18"/>
      <c r="Z75" s="18"/>
      <c r="AA75" s="18"/>
      <c r="AB75" s="18"/>
      <c r="AC75" s="18"/>
      <c r="AD75" s="18"/>
      <c r="AE75" s="18"/>
    </row>
    <row r="76" spans="1:31" s="163" customFormat="1" ht="82.5" customHeight="1">
      <c r="A76" s="281" t="str">
        <f>1!A79</f>
        <v>1.4.2.26</v>
      </c>
      <c r="B76" s="355" t="str">
        <f>1!B79</f>
        <v>Строительство КЛ-0,4 кВ от ВРУ-1 МКЖД до ВРУ-2 МКЖД ул.Тихая,8, п.Иноземцево, L= 0,071 км (АВВГ 4х35)</v>
      </c>
      <c r="C76" s="100" t="str">
        <f>1!C79</f>
        <v>G_Gelezno_ТР26</v>
      </c>
      <c r="D76" s="152">
        <f>2!I75</f>
        <v>0.0300895752</v>
      </c>
      <c r="E76" s="45" t="s">
        <v>412</v>
      </c>
      <c r="F76" s="152">
        <f t="shared" si="2"/>
        <v>0.0300895752</v>
      </c>
      <c r="G76" s="45"/>
      <c r="H76" s="45"/>
      <c r="I76" s="152"/>
      <c r="J76" s="152">
        <f t="shared" si="3"/>
        <v>0.0300895752</v>
      </c>
      <c r="K76" s="152">
        <f t="shared" si="4"/>
        <v>0.02549964</v>
      </c>
      <c r="L76" s="45">
        <v>2017</v>
      </c>
      <c r="M76" s="45"/>
      <c r="N76" s="331" t="s">
        <v>248</v>
      </c>
      <c r="O76" s="45" t="s">
        <v>368</v>
      </c>
      <c r="P76" s="152"/>
      <c r="Q76" s="152"/>
      <c r="R76" s="152"/>
      <c r="S76" s="525">
        <f>4!J81</f>
        <v>0.071</v>
      </c>
      <c r="T76" s="11"/>
      <c r="U76" s="11"/>
      <c r="V76" s="18"/>
      <c r="W76" s="18"/>
      <c r="X76" s="18"/>
      <c r="Y76" s="18"/>
      <c r="Z76" s="18"/>
      <c r="AA76" s="18"/>
      <c r="AB76" s="18"/>
      <c r="AC76" s="18"/>
      <c r="AD76" s="18"/>
      <c r="AE76" s="18"/>
    </row>
    <row r="77" spans="1:31" s="163" customFormat="1" ht="82.5" customHeight="1">
      <c r="A77" s="281" t="str">
        <f>1!A80</f>
        <v>1.4.2.27</v>
      </c>
      <c r="B77" s="355" t="str">
        <f>1!B80</f>
        <v>Строительство КЛ-0,4 кВ от ВРУ-2 МКЖД до ВРУ-3 МКЖД ул.Тихая,8, п.Иноземцево, L= 0,025 км (АВВГ 4х35)</v>
      </c>
      <c r="C77" s="100" t="str">
        <f>1!C80</f>
        <v>G_Gelezno_ТР27</v>
      </c>
      <c r="D77" s="152">
        <f>2!I76</f>
        <v>0.012943679599999999</v>
      </c>
      <c r="E77" s="45" t="s">
        <v>412</v>
      </c>
      <c r="F77" s="152">
        <f t="shared" si="2"/>
        <v>0.012943679599999999</v>
      </c>
      <c r="G77" s="45"/>
      <c r="H77" s="45"/>
      <c r="I77" s="152"/>
      <c r="J77" s="152">
        <f t="shared" si="3"/>
        <v>0.012943679599999999</v>
      </c>
      <c r="K77" s="152">
        <f t="shared" si="4"/>
        <v>0.01096922</v>
      </c>
      <c r="L77" s="45">
        <v>2017</v>
      </c>
      <c r="M77" s="45"/>
      <c r="N77" s="331" t="s">
        <v>248</v>
      </c>
      <c r="O77" s="45" t="s">
        <v>368</v>
      </c>
      <c r="P77" s="152"/>
      <c r="Q77" s="152"/>
      <c r="R77" s="152"/>
      <c r="S77" s="525">
        <f>4!J82</f>
        <v>0.025</v>
      </c>
      <c r="T77" s="11"/>
      <c r="U77" s="11"/>
      <c r="V77" s="18"/>
      <c r="W77" s="18"/>
      <c r="X77" s="18"/>
      <c r="Y77" s="18"/>
      <c r="Z77" s="18"/>
      <c r="AA77" s="18"/>
      <c r="AB77" s="18"/>
      <c r="AC77" s="18"/>
      <c r="AD77" s="18"/>
      <c r="AE77" s="18"/>
    </row>
    <row r="78" spans="1:31" s="163" customFormat="1" ht="82.5" customHeight="1">
      <c r="A78" s="281" t="str">
        <f>1!A81</f>
        <v>1.4.2.28</v>
      </c>
      <c r="B78" s="355" t="str">
        <f>1!B81</f>
        <v>Строительство КЛ-0,4 кВ от ВРУ-3 МКЖД до РУ-0,4 кВ КТП-248 ул.Тихая,8, п.Иноземцево, L= 0,107 км (АВВГ 4х35)</v>
      </c>
      <c r="C78" s="100" t="str">
        <f>1!C81</f>
        <v>G_Gelezno_ТР28</v>
      </c>
      <c r="D78" s="152">
        <f>2!I77</f>
        <v>0.048633369600000004</v>
      </c>
      <c r="E78" s="45" t="s">
        <v>412</v>
      </c>
      <c r="F78" s="152">
        <f t="shared" si="2"/>
        <v>0.048633369600000004</v>
      </c>
      <c r="G78" s="45"/>
      <c r="H78" s="45"/>
      <c r="I78" s="152"/>
      <c r="J78" s="152">
        <f t="shared" si="3"/>
        <v>0.048633369600000004</v>
      </c>
      <c r="K78" s="152">
        <f t="shared" si="4"/>
        <v>0.04121472</v>
      </c>
      <c r="L78" s="45">
        <v>2017</v>
      </c>
      <c r="M78" s="45"/>
      <c r="N78" s="331" t="s">
        <v>248</v>
      </c>
      <c r="O78" s="45" t="s">
        <v>368</v>
      </c>
      <c r="P78" s="152"/>
      <c r="Q78" s="152"/>
      <c r="R78" s="152"/>
      <c r="S78" s="525">
        <f>4!J83</f>
        <v>0.107</v>
      </c>
      <c r="T78" s="11"/>
      <c r="U78" s="11"/>
      <c r="V78" s="18"/>
      <c r="W78" s="18"/>
      <c r="X78" s="18"/>
      <c r="Y78" s="18"/>
      <c r="Z78" s="18"/>
      <c r="AA78" s="18"/>
      <c r="AB78" s="18"/>
      <c r="AC78" s="18"/>
      <c r="AD78" s="18"/>
      <c r="AE78" s="18"/>
    </row>
    <row r="79" spans="1:31" s="163" customFormat="1" ht="82.5" customHeight="1">
      <c r="A79" s="281" t="str">
        <f>1!A82</f>
        <v>1.4.2.29</v>
      </c>
      <c r="B79" s="355" t="str">
        <f>1!B82</f>
        <v>Строительство КЛ-0,4 кВ от РУ-0,4 кВ КТП-248 до ВРУ-1 МКЖД ул.Тихая,8, п.Иноземцево, L= 0,102 км (АВВГ 4х35)</v>
      </c>
      <c r="C79" s="100" t="str">
        <f>1!C82</f>
        <v>G_Gelezno_ТР29</v>
      </c>
      <c r="D79" s="152">
        <f>2!I78</f>
        <v>0.046671961799999995</v>
      </c>
      <c r="E79" s="45" t="s">
        <v>412</v>
      </c>
      <c r="F79" s="152">
        <f t="shared" si="2"/>
        <v>0.046671961799999995</v>
      </c>
      <c r="G79" s="45"/>
      <c r="H79" s="45"/>
      <c r="I79" s="152"/>
      <c r="J79" s="152">
        <f t="shared" si="3"/>
        <v>0.046671961799999995</v>
      </c>
      <c r="K79" s="152">
        <f t="shared" si="4"/>
        <v>0.03955251</v>
      </c>
      <c r="L79" s="45">
        <v>2017</v>
      </c>
      <c r="M79" s="45"/>
      <c r="N79" s="331" t="s">
        <v>248</v>
      </c>
      <c r="O79" s="45" t="s">
        <v>368</v>
      </c>
      <c r="P79" s="152"/>
      <c r="Q79" s="152"/>
      <c r="R79" s="152"/>
      <c r="S79" s="525">
        <f>4!J84</f>
        <v>0.102</v>
      </c>
      <c r="T79" s="11"/>
      <c r="U79" s="11"/>
      <c r="V79" s="18"/>
      <c r="W79" s="18"/>
      <c r="X79" s="18"/>
      <c r="Y79" s="18"/>
      <c r="Z79" s="18"/>
      <c r="AA79" s="18"/>
      <c r="AB79" s="18"/>
      <c r="AC79" s="18"/>
      <c r="AD79" s="18"/>
      <c r="AE79" s="18"/>
    </row>
    <row r="80" spans="1:31" s="163" customFormat="1" ht="82.5" customHeight="1">
      <c r="A80" s="281" t="str">
        <f>1!A83</f>
        <v>1.4.2.30</v>
      </c>
      <c r="B80" s="355" t="str">
        <f>1!B83</f>
        <v>Строительство КЛ-0,4 кВ от РУ-0,4 кВ КТП-105 до РЩ МКЖД ул.Октябрьская,96 Б, г.Железноводск, L= 0,186 км (АВБбШВ 4х95)</v>
      </c>
      <c r="C80" s="100" t="str">
        <f>1!C83</f>
        <v>G_Gelezno_ТР30</v>
      </c>
      <c r="D80" s="152">
        <f>2!I79</f>
        <v>0.15343983679999998</v>
      </c>
      <c r="E80" s="45" t="s">
        <v>412</v>
      </c>
      <c r="F80" s="152">
        <f t="shared" si="2"/>
        <v>0.15343983679999998</v>
      </c>
      <c r="G80" s="45"/>
      <c r="H80" s="45"/>
      <c r="I80" s="152"/>
      <c r="J80" s="152">
        <f t="shared" si="3"/>
        <v>0.15343983679999998</v>
      </c>
      <c r="K80" s="152">
        <f t="shared" si="4"/>
        <v>0.13003376</v>
      </c>
      <c r="L80" s="45">
        <v>2017</v>
      </c>
      <c r="M80" s="45"/>
      <c r="N80" s="331" t="s">
        <v>248</v>
      </c>
      <c r="O80" s="45" t="s">
        <v>368</v>
      </c>
      <c r="P80" s="152"/>
      <c r="Q80" s="152"/>
      <c r="R80" s="152"/>
      <c r="S80" s="525">
        <f>4!J85</f>
        <v>0.186</v>
      </c>
      <c r="T80" s="11"/>
      <c r="U80" s="11"/>
      <c r="V80" s="18"/>
      <c r="W80" s="18"/>
      <c r="X80" s="18"/>
      <c r="Y80" s="18"/>
      <c r="Z80" s="18"/>
      <c r="AA80" s="18"/>
      <c r="AB80" s="18"/>
      <c r="AC80" s="18"/>
      <c r="AD80" s="18"/>
      <c r="AE80" s="18"/>
    </row>
    <row r="81" spans="1:31" s="163" customFormat="1" ht="82.5" customHeight="1">
      <c r="A81" s="281" t="str">
        <f>1!A84</f>
        <v>1.4.2.31</v>
      </c>
      <c r="B81" s="355" t="str">
        <f>1!B84</f>
        <v>Строительство КЛ-0,4 кВ от ВРУ-12 до ВРУ-2 в ЖК "Вишнёвый сад" (2-ая очередь), п.Иноземцево, L= 0,1 км (АВБбШВ 4х150)</v>
      </c>
      <c r="C81" s="100" t="str">
        <f>1!C84</f>
        <v>G_Gelezno_ТР31</v>
      </c>
      <c r="D81" s="152">
        <f>2!I80</f>
        <v>0.11731838</v>
      </c>
      <c r="E81" s="45" t="s">
        <v>412</v>
      </c>
      <c r="F81" s="152">
        <f t="shared" si="2"/>
        <v>0.11731838</v>
      </c>
      <c r="G81" s="45"/>
      <c r="H81" s="45"/>
      <c r="I81" s="152"/>
      <c r="J81" s="152">
        <f t="shared" si="3"/>
        <v>0.11731838</v>
      </c>
      <c r="K81" s="152">
        <f aca="true" t="shared" si="6" ref="K81:K86">F81</f>
        <v>0.11731838</v>
      </c>
      <c r="L81" s="45">
        <v>2017</v>
      </c>
      <c r="M81" s="45"/>
      <c r="N81" s="331" t="s">
        <v>248</v>
      </c>
      <c r="O81" s="45" t="s">
        <v>368</v>
      </c>
      <c r="P81" s="152"/>
      <c r="Q81" s="152"/>
      <c r="R81" s="152"/>
      <c r="S81" s="525">
        <f>4!J86</f>
        <v>0.1</v>
      </c>
      <c r="T81" s="11"/>
      <c r="U81" s="11"/>
      <c r="V81" s="18"/>
      <c r="W81" s="18"/>
      <c r="X81" s="18"/>
      <c r="Y81" s="18"/>
      <c r="Z81" s="18"/>
      <c r="AA81" s="18"/>
      <c r="AB81" s="18"/>
      <c r="AC81" s="18"/>
      <c r="AD81" s="18"/>
      <c r="AE81" s="18"/>
    </row>
    <row r="82" spans="1:31" s="163" customFormat="1" ht="82.5" customHeight="1">
      <c r="A82" s="281" t="str">
        <f>1!A85</f>
        <v>1.4.2.32</v>
      </c>
      <c r="B82" s="355" t="str">
        <f>1!B85</f>
        <v>Строительство КЛ-0,4кВ от ВРУ-16 до ВРУ-10 в ЖК"Вишнёвый сад" (2-ая очередь), п.Иноземцево, L= 0,035 км (АВБбШВ 4х95)</v>
      </c>
      <c r="C82" s="100" t="str">
        <f>1!C85</f>
        <v>G_Gelezno_ТР32</v>
      </c>
      <c r="D82" s="152">
        <f>2!I81</f>
        <v>0.04696934</v>
      </c>
      <c r="E82" s="45" t="s">
        <v>412</v>
      </c>
      <c r="F82" s="152">
        <f t="shared" si="2"/>
        <v>0.04696934</v>
      </c>
      <c r="G82" s="45"/>
      <c r="H82" s="45"/>
      <c r="I82" s="152"/>
      <c r="J82" s="152">
        <f t="shared" si="3"/>
        <v>0.04696934</v>
      </c>
      <c r="K82" s="152">
        <f t="shared" si="6"/>
        <v>0.04696934</v>
      </c>
      <c r="L82" s="45">
        <v>2017</v>
      </c>
      <c r="M82" s="45"/>
      <c r="N82" s="331" t="s">
        <v>248</v>
      </c>
      <c r="O82" s="45" t="s">
        <v>368</v>
      </c>
      <c r="P82" s="152"/>
      <c r="Q82" s="152"/>
      <c r="R82" s="152"/>
      <c r="S82" s="525">
        <f>4!J87</f>
        <v>0.035</v>
      </c>
      <c r="T82" s="11"/>
      <c r="U82" s="11"/>
      <c r="V82" s="18"/>
      <c r="W82" s="18"/>
      <c r="X82" s="18"/>
      <c r="Y82" s="18"/>
      <c r="Z82" s="18"/>
      <c r="AA82" s="18"/>
      <c r="AB82" s="18"/>
      <c r="AC82" s="18"/>
      <c r="AD82" s="18"/>
      <c r="AE82" s="18"/>
    </row>
    <row r="83" spans="1:31" s="163" customFormat="1" ht="82.5" customHeight="1">
      <c r="A83" s="281" t="str">
        <f>1!A86</f>
        <v>1.4.2.33</v>
      </c>
      <c r="B83" s="355" t="str">
        <f>1!B86</f>
        <v>Строительство КЛ-0,4 кВ от опоры ВЛ-0,4 кВ № 21 до ВРУ-1 в ЖК "Вишнёвый сад" (2-ая очередь), п.Иноземцево, L= 0,05 км (АВБбШВ 4х120)</v>
      </c>
      <c r="C83" s="100" t="str">
        <f>1!C86</f>
        <v>G_Gelezno_ТР33</v>
      </c>
      <c r="D83" s="152">
        <f>2!I82</f>
        <v>0.06008357</v>
      </c>
      <c r="E83" s="45" t="s">
        <v>412</v>
      </c>
      <c r="F83" s="152">
        <f t="shared" si="2"/>
        <v>0.06008357</v>
      </c>
      <c r="G83" s="45"/>
      <c r="H83" s="45"/>
      <c r="I83" s="152"/>
      <c r="J83" s="152">
        <f t="shared" si="3"/>
        <v>0.06008357</v>
      </c>
      <c r="K83" s="152">
        <f t="shared" si="6"/>
        <v>0.06008357</v>
      </c>
      <c r="L83" s="45">
        <v>2017</v>
      </c>
      <c r="M83" s="45"/>
      <c r="N83" s="331" t="s">
        <v>248</v>
      </c>
      <c r="O83" s="45" t="s">
        <v>368</v>
      </c>
      <c r="P83" s="152"/>
      <c r="Q83" s="152"/>
      <c r="R83" s="152"/>
      <c r="S83" s="525">
        <f>4!J88</f>
        <v>0.05</v>
      </c>
      <c r="T83" s="11"/>
      <c r="U83" s="11"/>
      <c r="V83" s="18"/>
      <c r="W83" s="18"/>
      <c r="X83" s="18"/>
      <c r="Y83" s="18"/>
      <c r="Z83" s="18"/>
      <c r="AA83" s="18"/>
      <c r="AB83" s="18"/>
      <c r="AC83" s="18"/>
      <c r="AD83" s="18"/>
      <c r="AE83" s="18"/>
    </row>
    <row r="84" spans="1:31" s="163" customFormat="1" ht="82.5" customHeight="1">
      <c r="A84" s="281" t="str">
        <f>1!A87</f>
        <v>1.4.2.34</v>
      </c>
      <c r="B84" s="355" t="str">
        <f>1!B87</f>
        <v>Строительство КЛ-0,4 кВ от РУ-0,4 кВ 2КТП-244 до ВРУ-12 в ЖК "Вишнёвый сад" (2-ая очередь), п.Иноземцево, L= 0,17 км (АВБбШВ 4х185) км</v>
      </c>
      <c r="C84" s="100" t="str">
        <f>1!C87</f>
        <v>G_Gelezno_ТР34</v>
      </c>
      <c r="D84" s="152">
        <f>2!I83</f>
        <v>0.22782302</v>
      </c>
      <c r="E84" s="45" t="s">
        <v>412</v>
      </c>
      <c r="F84" s="152">
        <f t="shared" si="2"/>
        <v>0.22782302</v>
      </c>
      <c r="G84" s="45"/>
      <c r="H84" s="45"/>
      <c r="I84" s="152"/>
      <c r="J84" s="152">
        <f t="shared" si="3"/>
        <v>0.22782302</v>
      </c>
      <c r="K84" s="152">
        <f t="shared" si="6"/>
        <v>0.22782302</v>
      </c>
      <c r="L84" s="45">
        <v>2017</v>
      </c>
      <c r="M84" s="45"/>
      <c r="N84" s="331" t="s">
        <v>248</v>
      </c>
      <c r="O84" s="45" t="s">
        <v>368</v>
      </c>
      <c r="P84" s="152"/>
      <c r="Q84" s="152"/>
      <c r="R84" s="152"/>
      <c r="S84" s="525">
        <f>4!J89</f>
        <v>0.17</v>
      </c>
      <c r="T84" s="11"/>
      <c r="U84" s="11"/>
      <c r="V84" s="18"/>
      <c r="W84" s="18"/>
      <c r="X84" s="18"/>
      <c r="Y84" s="18"/>
      <c r="Z84" s="18"/>
      <c r="AA84" s="18"/>
      <c r="AB84" s="18"/>
      <c r="AC84" s="18"/>
      <c r="AD84" s="18"/>
      <c r="AE84" s="18"/>
    </row>
    <row r="85" spans="1:31" s="163" customFormat="1" ht="82.5" customHeight="1">
      <c r="A85" s="281" t="str">
        <f>1!A88</f>
        <v>1.4.2.35</v>
      </c>
      <c r="B85" s="355" t="str">
        <f>1!B88</f>
        <v>Строительство КЛ-0,4 кВ от РУ-0,4 кВ 2КТП-244 до ВРУ-15 в ЖК "Вишнёвый сад" (2-ая очередь), п.Иноземцево, L= 0,08 км (АВБбШВ 4х95)</v>
      </c>
      <c r="C85" s="100" t="str">
        <f>1!C88</f>
        <v>G_Gelezno_ТР35</v>
      </c>
      <c r="D85" s="152">
        <f>2!I84</f>
        <v>0.08915185</v>
      </c>
      <c r="E85" s="45" t="s">
        <v>412</v>
      </c>
      <c r="F85" s="152">
        <f t="shared" si="2"/>
        <v>0.08915185</v>
      </c>
      <c r="G85" s="45"/>
      <c r="H85" s="45"/>
      <c r="I85" s="152"/>
      <c r="J85" s="152">
        <f t="shared" si="3"/>
        <v>0.08915185</v>
      </c>
      <c r="K85" s="152">
        <f t="shared" si="6"/>
        <v>0.08915185</v>
      </c>
      <c r="L85" s="45">
        <v>2017</v>
      </c>
      <c r="M85" s="45"/>
      <c r="N85" s="331" t="s">
        <v>248</v>
      </c>
      <c r="O85" s="45" t="s">
        <v>368</v>
      </c>
      <c r="P85" s="152"/>
      <c r="Q85" s="152"/>
      <c r="R85" s="152"/>
      <c r="S85" s="525">
        <f>4!J90</f>
        <v>0.08</v>
      </c>
      <c r="T85" s="11"/>
      <c r="U85" s="11"/>
      <c r="V85" s="18"/>
      <c r="W85" s="18"/>
      <c r="X85" s="18"/>
      <c r="Y85" s="18"/>
      <c r="Z85" s="18"/>
      <c r="AA85" s="18"/>
      <c r="AB85" s="18"/>
      <c r="AC85" s="18"/>
      <c r="AD85" s="18"/>
      <c r="AE85" s="18"/>
    </row>
    <row r="86" spans="1:31" s="163" customFormat="1" ht="82.5" customHeight="1">
      <c r="A86" s="281" t="str">
        <f>1!A89</f>
        <v>1.4.2.36</v>
      </c>
      <c r="B86" s="355" t="str">
        <f>1!B89</f>
        <v>Строительство ВЛ-0,4 кВ от РУ-0,4 кВ КТП-241 ЖК "Вишнёвый сад" (2-ая очередь), п.Иноземцево, СИП-2 3х150+1х95 - 0,204 км СИП-2 3х120+1х95 - 0,275 км и СИП-2 3х95+1х70 - 0,408 км</v>
      </c>
      <c r="C86" s="100" t="str">
        <f>1!C89</f>
        <v>G_Gelezno_ТР36</v>
      </c>
      <c r="D86" s="152">
        <f>2!I85</f>
        <v>1.23239373</v>
      </c>
      <c r="E86" s="45" t="s">
        <v>412</v>
      </c>
      <c r="F86" s="152">
        <f t="shared" si="2"/>
        <v>1.23239373</v>
      </c>
      <c r="G86" s="45"/>
      <c r="H86" s="45"/>
      <c r="I86" s="152"/>
      <c r="J86" s="152">
        <f t="shared" si="3"/>
        <v>1.23239373</v>
      </c>
      <c r="K86" s="152">
        <f t="shared" si="6"/>
        <v>1.23239373</v>
      </c>
      <c r="L86" s="45">
        <v>2017</v>
      </c>
      <c r="M86" s="45"/>
      <c r="N86" s="331" t="s">
        <v>248</v>
      </c>
      <c r="O86" s="45" t="s">
        <v>368</v>
      </c>
      <c r="P86" s="152"/>
      <c r="Q86" s="152"/>
      <c r="R86" s="152"/>
      <c r="S86" s="525">
        <f>4!J91</f>
        <v>0.887</v>
      </c>
      <c r="T86" s="11"/>
      <c r="U86" s="11"/>
      <c r="V86" s="18"/>
      <c r="W86" s="18"/>
      <c r="X86" s="18"/>
      <c r="Y86" s="18"/>
      <c r="Z86" s="18"/>
      <c r="AA86" s="18"/>
      <c r="AB86" s="18"/>
      <c r="AC86" s="18"/>
      <c r="AD86" s="18"/>
      <c r="AE86" s="18"/>
    </row>
    <row r="87" spans="1:31" s="163" customFormat="1" ht="82.5" customHeight="1">
      <c r="A87" s="281" t="str">
        <f>1!A90</f>
        <v>1.4.2.37</v>
      </c>
      <c r="B87" s="355" t="str">
        <f>1!B90</f>
        <v>Строительство КТП-249 пер.Промышленный,24, п.Иноземцево (ТМГ-630 кВА)(Линия 2), L=0,143 км</v>
      </c>
      <c r="C87" s="100" t="str">
        <f>1!C90</f>
        <v>G_Gelezno_ТР37</v>
      </c>
      <c r="D87" s="152">
        <f>2!I86</f>
        <v>1.6791935247999998</v>
      </c>
      <c r="E87" s="45" t="s">
        <v>412</v>
      </c>
      <c r="F87" s="152">
        <f t="shared" si="2"/>
        <v>1.6791935247999998</v>
      </c>
      <c r="G87" s="45"/>
      <c r="H87" s="45"/>
      <c r="I87" s="152"/>
      <c r="J87" s="152">
        <f t="shared" si="3"/>
        <v>1.6791935247999998</v>
      </c>
      <c r="K87" s="152">
        <f t="shared" si="4"/>
        <v>1.42304536</v>
      </c>
      <c r="L87" s="45">
        <v>2017</v>
      </c>
      <c r="M87" s="45"/>
      <c r="N87" s="331" t="s">
        <v>248</v>
      </c>
      <c r="O87" s="45" t="s">
        <v>368</v>
      </c>
      <c r="P87" s="152"/>
      <c r="Q87" s="152">
        <f>4!H92</f>
        <v>0.63</v>
      </c>
      <c r="R87" s="152"/>
      <c r="S87" s="525"/>
      <c r="T87" s="11"/>
      <c r="U87" s="11"/>
      <c r="V87" s="18"/>
      <c r="W87" s="18"/>
      <c r="X87" s="18"/>
      <c r="Y87" s="18"/>
      <c r="Z87" s="18"/>
      <c r="AA87" s="18"/>
      <c r="AB87" s="18"/>
      <c r="AC87" s="18"/>
      <c r="AD87" s="18"/>
      <c r="AE87" s="18"/>
    </row>
    <row r="88" spans="1:31" s="163" customFormat="1" ht="10.5" customHeight="1" thickBot="1">
      <c r="A88" s="416"/>
      <c r="B88" s="447"/>
      <c r="C88" s="418"/>
      <c r="D88" s="438"/>
      <c r="E88" s="413"/>
      <c r="F88" s="438"/>
      <c r="G88" s="413"/>
      <c r="H88" s="413"/>
      <c r="I88" s="438"/>
      <c r="J88" s="413"/>
      <c r="K88" s="438"/>
      <c r="L88" s="413"/>
      <c r="M88" s="413"/>
      <c r="N88" s="439"/>
      <c r="O88" s="413"/>
      <c r="P88" s="438"/>
      <c r="Q88" s="438"/>
      <c r="R88" s="438"/>
      <c r="S88" s="528"/>
      <c r="T88" s="11"/>
      <c r="U88" s="11"/>
      <c r="V88" s="18"/>
      <c r="W88" s="18"/>
      <c r="X88" s="18"/>
      <c r="Y88" s="18"/>
      <c r="Z88" s="18"/>
      <c r="AA88" s="18"/>
      <c r="AB88" s="18"/>
      <c r="AC88" s="18"/>
      <c r="AD88" s="18"/>
      <c r="AE88" s="18"/>
    </row>
    <row r="89" spans="1:31" s="10" customFormat="1" ht="15.75">
      <c r="A89" s="273"/>
      <c r="B89" s="274"/>
      <c r="C89" s="273"/>
      <c r="D89" s="303"/>
      <c r="E89" s="275"/>
      <c r="F89" s="303"/>
      <c r="G89" s="275"/>
      <c r="H89" s="275"/>
      <c r="I89" s="303"/>
      <c r="J89" s="275"/>
      <c r="K89" s="445"/>
      <c r="L89" s="275"/>
      <c r="M89" s="275"/>
      <c r="N89" s="304"/>
      <c r="O89" s="275"/>
      <c r="P89" s="303"/>
      <c r="Q89" s="303"/>
      <c r="R89" s="303"/>
      <c r="S89" s="445"/>
      <c r="T89" s="8"/>
      <c r="U89" s="8"/>
      <c r="V89" s="7"/>
      <c r="W89" s="7"/>
      <c r="X89" s="7"/>
      <c r="Y89" s="7"/>
      <c r="Z89" s="7"/>
      <c r="AA89" s="7"/>
      <c r="AB89" s="7"/>
      <c r="AC89" s="7"/>
      <c r="AD89" s="7"/>
      <c r="AE89" s="7"/>
    </row>
    <row r="90" spans="1:31" s="10" customFormat="1" ht="15.75">
      <c r="A90" s="273"/>
      <c r="B90" s="274"/>
      <c r="C90" s="273"/>
      <c r="D90" s="303"/>
      <c r="E90" s="275"/>
      <c r="F90" s="303"/>
      <c r="G90" s="275"/>
      <c r="H90" s="275"/>
      <c r="I90" s="303"/>
      <c r="J90" s="275"/>
      <c r="K90" s="445"/>
      <c r="L90" s="275"/>
      <c r="M90" s="275"/>
      <c r="N90" s="304"/>
      <c r="O90" s="275"/>
      <c r="P90" s="303"/>
      <c r="Q90" s="303"/>
      <c r="R90" s="303"/>
      <c r="S90" s="445"/>
      <c r="T90" s="8"/>
      <c r="U90" s="8"/>
      <c r="V90" s="7"/>
      <c r="W90" s="7"/>
      <c r="X90" s="7"/>
      <c r="Y90" s="7"/>
      <c r="Z90" s="7"/>
      <c r="AA90" s="7"/>
      <c r="AB90" s="7"/>
      <c r="AC90" s="7"/>
      <c r="AD90" s="7"/>
      <c r="AE90" s="7"/>
    </row>
    <row r="91" spans="1:31" s="10" customFormat="1" ht="15.75">
      <c r="A91" s="273"/>
      <c r="B91" s="274"/>
      <c r="C91" s="273"/>
      <c r="D91" s="303"/>
      <c r="E91" s="275"/>
      <c r="F91" s="303"/>
      <c r="G91" s="275"/>
      <c r="H91" s="275"/>
      <c r="I91" s="303"/>
      <c r="J91" s="275"/>
      <c r="K91" s="445"/>
      <c r="L91" s="275"/>
      <c r="M91" s="275"/>
      <c r="N91" s="304"/>
      <c r="O91" s="275"/>
      <c r="P91" s="303"/>
      <c r="Q91" s="303"/>
      <c r="R91" s="303"/>
      <c r="S91" s="445"/>
      <c r="T91" s="8"/>
      <c r="U91" s="8"/>
      <c r="V91" s="7"/>
      <c r="W91" s="7"/>
      <c r="X91" s="7"/>
      <c r="Y91" s="7"/>
      <c r="Z91" s="7"/>
      <c r="AA91" s="7"/>
      <c r="AB91" s="7"/>
      <c r="AC91" s="7"/>
      <c r="AD91" s="7"/>
      <c r="AE91" s="7"/>
    </row>
    <row r="92" spans="1:31" s="10" customFormat="1" ht="15.75">
      <c r="A92" s="273"/>
      <c r="B92" s="274"/>
      <c r="C92" s="273"/>
      <c r="D92" s="303"/>
      <c r="E92" s="275"/>
      <c r="F92" s="303"/>
      <c r="G92" s="275"/>
      <c r="H92" s="275"/>
      <c r="I92" s="303"/>
      <c r="J92" s="275"/>
      <c r="K92" s="445"/>
      <c r="L92" s="275"/>
      <c r="M92" s="275"/>
      <c r="N92" s="304"/>
      <c r="O92" s="275"/>
      <c r="P92" s="303"/>
      <c r="Q92" s="303"/>
      <c r="R92" s="303"/>
      <c r="S92" s="445"/>
      <c r="T92" s="8"/>
      <c r="U92" s="8"/>
      <c r="V92" s="7"/>
      <c r="W92" s="7"/>
      <c r="X92" s="7"/>
      <c r="Y92" s="7"/>
      <c r="Z92" s="7"/>
      <c r="AA92" s="7"/>
      <c r="AB92" s="7"/>
      <c r="AC92" s="7"/>
      <c r="AD92" s="7"/>
      <c r="AE92" s="7"/>
    </row>
    <row r="93" spans="1:31" s="10" customFormat="1" ht="15.75">
      <c r="A93" s="273"/>
      <c r="B93" s="274"/>
      <c r="C93" s="273"/>
      <c r="D93" s="303"/>
      <c r="E93" s="275"/>
      <c r="F93" s="303"/>
      <c r="G93" s="275"/>
      <c r="H93" s="275"/>
      <c r="I93" s="303"/>
      <c r="J93" s="275"/>
      <c r="K93" s="445"/>
      <c r="L93" s="275"/>
      <c r="M93" s="275"/>
      <c r="N93" s="304"/>
      <c r="O93" s="275"/>
      <c r="P93" s="303"/>
      <c r="Q93" s="303"/>
      <c r="R93" s="303"/>
      <c r="S93" s="445"/>
      <c r="T93" s="8"/>
      <c r="U93" s="8"/>
      <c r="V93" s="7"/>
      <c r="W93" s="7"/>
      <c r="X93" s="7"/>
      <c r="Y93" s="7"/>
      <c r="Z93" s="7"/>
      <c r="AA93" s="7"/>
      <c r="AB93" s="7"/>
      <c r="AC93" s="7"/>
      <c r="AD93" s="7"/>
      <c r="AE93" s="7"/>
    </row>
    <row r="94" spans="1:31" s="10" customFormat="1" ht="15.75" customHeight="1">
      <c r="A94" s="273"/>
      <c r="B94" s="603" t="s">
        <v>595</v>
      </c>
      <c r="C94" s="603"/>
      <c r="D94" s="603"/>
      <c r="E94" s="603"/>
      <c r="F94" s="603"/>
      <c r="G94" s="603"/>
      <c r="H94" s="603"/>
      <c r="I94" s="603"/>
      <c r="J94" s="603"/>
      <c r="K94" s="603"/>
      <c r="L94" s="603"/>
      <c r="M94" s="603"/>
      <c r="N94" s="603"/>
      <c r="O94" s="603"/>
      <c r="P94" s="603"/>
      <c r="Q94" s="603"/>
      <c r="R94" s="603"/>
      <c r="S94" s="603"/>
      <c r="T94" s="603"/>
      <c r="U94" s="603"/>
      <c r="V94" s="603"/>
      <c r="W94" s="7"/>
      <c r="X94" s="7"/>
      <c r="Y94" s="7"/>
      <c r="Z94" s="7"/>
      <c r="AA94" s="7"/>
      <c r="AB94" s="7"/>
      <c r="AC94" s="7"/>
      <c r="AD94" s="7"/>
      <c r="AE94" s="7"/>
    </row>
  </sheetData>
  <sheetProtection/>
  <mergeCells count="19">
    <mergeCell ref="A12:S12"/>
    <mergeCell ref="A13:S13"/>
    <mergeCell ref="A11:S11"/>
    <mergeCell ref="A15:S15"/>
    <mergeCell ref="A16:R16"/>
    <mergeCell ref="A17:A19"/>
    <mergeCell ref="B17:B19"/>
    <mergeCell ref="C17:C19"/>
    <mergeCell ref="D17:D19"/>
    <mergeCell ref="N17:N19"/>
    <mergeCell ref="B94:V94"/>
    <mergeCell ref="P17:S17"/>
    <mergeCell ref="F17:J18"/>
    <mergeCell ref="L17:M18"/>
    <mergeCell ref="K17:K19"/>
    <mergeCell ref="E17:E19"/>
    <mergeCell ref="P18:Q18"/>
    <mergeCell ref="R18:S18"/>
    <mergeCell ref="O17:O19"/>
  </mergeCells>
  <printOptions/>
  <pageMargins left="0.3937007874015748" right="0.1968503937007874" top="0.5905511811023623" bottom="0.3937007874015748" header="0.11811023622047245" footer="0.11811023622047245"/>
  <pageSetup horizontalDpi="600" verticalDpi="600" orientation="portrait" paperSize="8" scale="65" r:id="rId1"/>
</worksheet>
</file>

<file path=xl/worksheets/sheet17.xml><?xml version="1.0" encoding="utf-8"?>
<worksheet xmlns="http://schemas.openxmlformats.org/spreadsheetml/2006/main" xmlns:r="http://schemas.openxmlformats.org/officeDocument/2006/relationships">
  <sheetPr>
    <tabColor indexed="10"/>
    <pageSetUpPr fitToPage="1"/>
  </sheetPr>
  <dimension ref="A1:Z16"/>
  <sheetViews>
    <sheetView view="pageBreakPreview" zoomScale="60" zoomScaleNormal="50" zoomScalePageLayoutView="0" workbookViewId="0" topLeftCell="A1">
      <selection activeCell="D12" sqref="D12:E12"/>
    </sheetView>
  </sheetViews>
  <sheetFormatPr defaultColWidth="16.00390625" defaultRowHeight="15.75"/>
  <cols>
    <col min="1" max="1" width="12.00390625" style="7" customWidth="1"/>
    <col min="2" max="2" width="33.00390625" style="8" customWidth="1"/>
    <col min="3" max="3" width="15.50390625" style="8" customWidth="1"/>
    <col min="4" max="4" width="22.375" style="8" customWidth="1"/>
    <col min="5" max="5" width="27.125" style="8" customWidth="1"/>
    <col min="6" max="6" width="42.125" style="8" customWidth="1"/>
    <col min="7" max="7" width="17.875" style="8" customWidth="1"/>
    <col min="8" max="8" width="17.375" style="8" customWidth="1"/>
    <col min="9" max="9" width="14.00390625" style="8" customWidth="1"/>
    <col min="10" max="10" width="12.75390625" style="8" customWidth="1"/>
    <col min="11" max="12" width="17.375" style="8" customWidth="1"/>
    <col min="13" max="14" width="18.50390625" style="8" customWidth="1"/>
    <col min="15" max="15" width="10.50390625" style="8" customWidth="1"/>
    <col min="16" max="16" width="11.50390625" style="8" customWidth="1"/>
    <col min="17" max="17" width="22.00390625" style="8" customWidth="1"/>
    <col min="18" max="18" width="22.625" style="8" customWidth="1"/>
    <col min="19" max="19" width="12.875" style="7" customWidth="1"/>
    <col min="20" max="20" width="15.625" style="7" customWidth="1"/>
    <col min="21" max="21" width="16.75390625" style="7" customWidth="1"/>
    <col min="22" max="22" width="19.25390625" style="7" customWidth="1"/>
    <col min="23" max="23" width="19.875" style="7" customWidth="1"/>
    <col min="24" max="24" width="22.375" style="7" customWidth="1"/>
    <col min="25" max="25" width="46.00390625" style="7" customWidth="1"/>
    <col min="26" max="245" width="9.00390625" style="7" customWidth="1"/>
    <col min="246" max="246" width="3.875" style="7" bestFit="1" customWidth="1"/>
    <col min="247" max="247" width="16.00390625" style="7" bestFit="1" customWidth="1"/>
    <col min="248" max="248" width="16.625" style="7" bestFit="1" customWidth="1"/>
    <col min="249" max="249" width="13.50390625" style="7" bestFit="1" customWidth="1"/>
    <col min="250" max="251" width="10.875" style="7" bestFit="1" customWidth="1"/>
    <col min="252" max="252" width="6.25390625" style="7" bestFit="1" customWidth="1"/>
    <col min="253" max="253" width="8.875" style="7" bestFit="1" customWidth="1"/>
    <col min="254" max="254" width="13.875" style="7" bestFit="1" customWidth="1"/>
    <col min="255" max="255" width="13.25390625" style="7" bestFit="1" customWidth="1"/>
    <col min="256" max="16384" width="16.00390625" style="7" bestFit="1" customWidth="1"/>
  </cols>
  <sheetData>
    <row r="1" ht="18.75">
      <c r="L1" s="26" t="s">
        <v>170</v>
      </c>
    </row>
    <row r="2" ht="18.75">
      <c r="L2" s="16" t="s">
        <v>423</v>
      </c>
    </row>
    <row r="3" ht="18.75">
      <c r="L3" s="16" t="s">
        <v>90</v>
      </c>
    </row>
    <row r="4" spans="1:12" ht="16.5">
      <c r="A4" s="670" t="s">
        <v>206</v>
      </c>
      <c r="B4" s="670"/>
      <c r="C4" s="670"/>
      <c r="D4" s="670"/>
      <c r="E4" s="670"/>
      <c r="F4" s="670"/>
      <c r="G4" s="670"/>
      <c r="H4" s="670"/>
      <c r="I4" s="670"/>
      <c r="J4" s="670"/>
      <c r="K4" s="670"/>
      <c r="L4" s="670"/>
    </row>
    <row r="5" spans="1:12" ht="16.5">
      <c r="A5" s="94"/>
      <c r="B5" s="94"/>
      <c r="C5" s="94"/>
      <c r="D5" s="94"/>
      <c r="E5" s="94"/>
      <c r="F5" s="94"/>
      <c r="G5" s="94"/>
      <c r="H5" s="94"/>
      <c r="I5" s="94"/>
      <c r="J5" s="94"/>
      <c r="K5" s="94"/>
      <c r="L5" s="94"/>
    </row>
    <row r="6" spans="1:25" ht="15.75">
      <c r="A6" s="663" t="s">
        <v>23</v>
      </c>
      <c r="B6" s="663"/>
      <c r="C6" s="663"/>
      <c r="D6" s="663"/>
      <c r="E6" s="663"/>
      <c r="F6" s="663"/>
      <c r="G6" s="663"/>
      <c r="H6" s="663"/>
      <c r="I6" s="663"/>
      <c r="J6" s="663"/>
      <c r="K6" s="663"/>
      <c r="L6" s="663"/>
      <c r="M6" s="82"/>
      <c r="N6" s="82"/>
      <c r="O6" s="82"/>
      <c r="P6" s="82"/>
      <c r="Q6" s="82"/>
      <c r="R6" s="82"/>
      <c r="S6" s="82"/>
      <c r="T6" s="82"/>
      <c r="U6" s="82"/>
      <c r="V6" s="82"/>
      <c r="W6" s="82"/>
      <c r="X6" s="82"/>
      <c r="Y6" s="82"/>
    </row>
    <row r="7" spans="1:25" ht="15.75">
      <c r="A7" s="542" t="s">
        <v>126</v>
      </c>
      <c r="B7" s="542"/>
      <c r="C7" s="542"/>
      <c r="D7" s="542"/>
      <c r="E7" s="542"/>
      <c r="F7" s="542"/>
      <c r="G7" s="542"/>
      <c r="H7" s="542"/>
      <c r="I7" s="542"/>
      <c r="J7" s="542"/>
      <c r="K7" s="542"/>
      <c r="L7" s="542"/>
      <c r="M7" s="76"/>
      <c r="N7" s="76"/>
      <c r="O7" s="76"/>
      <c r="P7" s="76"/>
      <c r="Q7" s="76"/>
      <c r="R7" s="76"/>
      <c r="S7" s="76"/>
      <c r="T7" s="76"/>
      <c r="U7" s="76"/>
      <c r="V7" s="76"/>
      <c r="W7" s="76"/>
      <c r="X7" s="76"/>
      <c r="Y7" s="76"/>
    </row>
    <row r="8" spans="1:25" ht="15.75">
      <c r="A8" s="542"/>
      <c r="B8" s="542"/>
      <c r="C8" s="542"/>
      <c r="D8" s="542"/>
      <c r="E8" s="542"/>
      <c r="F8" s="542"/>
      <c r="G8" s="542"/>
      <c r="H8" s="542"/>
      <c r="I8" s="542"/>
      <c r="J8" s="542"/>
      <c r="K8" s="542"/>
      <c r="L8" s="542"/>
      <c r="M8" s="76"/>
      <c r="N8" s="76"/>
      <c r="O8" s="76"/>
      <c r="P8" s="76"/>
      <c r="Q8" s="76"/>
      <c r="R8" s="76"/>
      <c r="S8" s="76"/>
      <c r="T8" s="76"/>
      <c r="U8" s="76"/>
      <c r="V8" s="76"/>
      <c r="W8" s="76"/>
      <c r="X8" s="76"/>
      <c r="Y8" s="76"/>
    </row>
    <row r="9" spans="1:25" ht="16.5">
      <c r="A9" s="758" t="s">
        <v>489</v>
      </c>
      <c r="B9" s="758"/>
      <c r="C9" s="758"/>
      <c r="D9" s="758"/>
      <c r="E9" s="758"/>
      <c r="F9" s="758"/>
      <c r="G9" s="758"/>
      <c r="H9" s="758"/>
      <c r="I9" s="758"/>
      <c r="J9" s="758"/>
      <c r="K9" s="758"/>
      <c r="L9" s="758"/>
      <c r="M9" s="12"/>
      <c r="N9" s="12"/>
      <c r="O9" s="12"/>
      <c r="P9" s="12"/>
      <c r="Q9" s="12"/>
      <c r="R9" s="12"/>
      <c r="S9" s="12"/>
      <c r="T9" s="12"/>
      <c r="U9" s="12"/>
      <c r="V9" s="12"/>
      <c r="W9" s="12"/>
      <c r="X9" s="12"/>
      <c r="Y9" s="12"/>
    </row>
    <row r="10" spans="1:26" s="10" customFormat="1" ht="16.5" customHeight="1">
      <c r="A10" s="759"/>
      <c r="B10" s="759"/>
      <c r="C10" s="759"/>
      <c r="D10" s="759"/>
      <c r="E10" s="759"/>
      <c r="F10" s="759"/>
      <c r="G10" s="759"/>
      <c r="H10" s="759"/>
      <c r="I10" s="759"/>
      <c r="J10" s="759"/>
      <c r="K10" s="759"/>
      <c r="L10" s="759"/>
      <c r="M10" s="759"/>
      <c r="N10" s="759"/>
      <c r="O10" s="759"/>
      <c r="P10" s="759"/>
      <c r="Q10" s="759"/>
      <c r="R10" s="759"/>
      <c r="S10" s="759"/>
      <c r="T10" s="759"/>
      <c r="U10" s="759"/>
      <c r="V10" s="759"/>
      <c r="W10" s="759"/>
      <c r="X10" s="759"/>
      <c r="Y10" s="7"/>
      <c r="Z10" s="7"/>
    </row>
    <row r="11" spans="1:26" s="10" customFormat="1" ht="63" customHeight="1">
      <c r="A11" s="672" t="s">
        <v>24</v>
      </c>
      <c r="B11" s="672" t="s">
        <v>452</v>
      </c>
      <c r="C11" s="672" t="s">
        <v>426</v>
      </c>
      <c r="D11" s="762" t="s">
        <v>155</v>
      </c>
      <c r="E11" s="763"/>
      <c r="F11" s="764"/>
      <c r="G11" s="672" t="s">
        <v>158</v>
      </c>
      <c r="H11" s="675" t="s">
        <v>161</v>
      </c>
      <c r="I11" s="675"/>
      <c r="J11" s="675"/>
      <c r="K11" s="675"/>
      <c r="L11" s="675"/>
      <c r="M11" s="687" t="s">
        <v>253</v>
      </c>
      <c r="N11" s="687"/>
      <c r="O11" s="687"/>
      <c r="P11" s="687"/>
      <c r="Q11" s="689" t="s">
        <v>166</v>
      </c>
      <c r="R11" s="684" t="s">
        <v>188</v>
      </c>
      <c r="S11" s="687" t="s">
        <v>189</v>
      </c>
      <c r="T11" s="687"/>
      <c r="U11" s="687"/>
      <c r="V11" s="687"/>
      <c r="W11" s="681" t="s">
        <v>151</v>
      </c>
      <c r="X11" s="683"/>
      <c r="Y11" s="675" t="s">
        <v>192</v>
      </c>
      <c r="Z11" s="7"/>
    </row>
    <row r="12" spans="1:26" s="10" customFormat="1" ht="213.75" customHeight="1">
      <c r="A12" s="673"/>
      <c r="B12" s="673"/>
      <c r="C12" s="673"/>
      <c r="D12" s="675" t="s">
        <v>157</v>
      </c>
      <c r="E12" s="675"/>
      <c r="F12" s="675" t="s">
        <v>190</v>
      </c>
      <c r="G12" s="673"/>
      <c r="H12" s="672" t="s">
        <v>159</v>
      </c>
      <c r="I12" s="675" t="s">
        <v>152</v>
      </c>
      <c r="J12" s="675"/>
      <c r="K12" s="672" t="s">
        <v>160</v>
      </c>
      <c r="L12" s="672" t="s">
        <v>162</v>
      </c>
      <c r="M12" s="684" t="s">
        <v>163</v>
      </c>
      <c r="N12" s="684" t="s">
        <v>164</v>
      </c>
      <c r="O12" s="680" t="s">
        <v>187</v>
      </c>
      <c r="P12" s="680"/>
      <c r="Q12" s="690"/>
      <c r="R12" s="686"/>
      <c r="S12" s="688" t="s">
        <v>167</v>
      </c>
      <c r="T12" s="688"/>
      <c r="U12" s="676" t="s">
        <v>169</v>
      </c>
      <c r="V12" s="676"/>
      <c r="W12" s="760" t="s">
        <v>258</v>
      </c>
      <c r="X12" s="687" t="s">
        <v>153</v>
      </c>
      <c r="Y12" s="675"/>
      <c r="Z12" s="7"/>
    </row>
    <row r="13" spans="1:26" s="10" customFormat="1" ht="43.5" customHeight="1">
      <c r="A13" s="674"/>
      <c r="B13" s="674"/>
      <c r="C13" s="674"/>
      <c r="D13" s="95" t="s">
        <v>526</v>
      </c>
      <c r="E13" s="95" t="s">
        <v>527</v>
      </c>
      <c r="F13" s="675"/>
      <c r="G13" s="674"/>
      <c r="H13" s="674"/>
      <c r="I13" s="84" t="s">
        <v>503</v>
      </c>
      <c r="J13" s="84" t="s">
        <v>504</v>
      </c>
      <c r="K13" s="674"/>
      <c r="L13" s="674"/>
      <c r="M13" s="685"/>
      <c r="N13" s="685"/>
      <c r="O13" s="39" t="s">
        <v>455</v>
      </c>
      <c r="P13" s="39" t="s">
        <v>456</v>
      </c>
      <c r="Q13" s="691"/>
      <c r="R13" s="685"/>
      <c r="S13" s="68" t="s">
        <v>457</v>
      </c>
      <c r="T13" s="68" t="s">
        <v>458</v>
      </c>
      <c r="U13" s="68" t="s">
        <v>457</v>
      </c>
      <c r="V13" s="68" t="s">
        <v>458</v>
      </c>
      <c r="W13" s="761"/>
      <c r="X13" s="687"/>
      <c r="Y13" s="675"/>
      <c r="Z13" s="7"/>
    </row>
    <row r="14" spans="1:26" s="10" customFormat="1" ht="15" customHeight="1">
      <c r="A14" s="45">
        <v>1</v>
      </c>
      <c r="B14" s="45">
        <v>2</v>
      </c>
      <c r="C14" s="45">
        <v>3</v>
      </c>
      <c r="D14" s="45">
        <v>4</v>
      </c>
      <c r="E14" s="45">
        <v>5</v>
      </c>
      <c r="F14" s="45">
        <v>6</v>
      </c>
      <c r="G14" s="45">
        <v>7</v>
      </c>
      <c r="H14" s="45">
        <v>8</v>
      </c>
      <c r="I14" s="45">
        <v>9</v>
      </c>
      <c r="J14" s="45">
        <v>10</v>
      </c>
      <c r="K14" s="45">
        <v>11</v>
      </c>
      <c r="L14" s="45">
        <v>12</v>
      </c>
      <c r="M14" s="45">
        <v>13</v>
      </c>
      <c r="N14" s="45">
        <v>14</v>
      </c>
      <c r="O14" s="45">
        <v>15</v>
      </c>
      <c r="P14" s="45">
        <v>16</v>
      </c>
      <c r="Q14" s="45">
        <v>17</v>
      </c>
      <c r="R14" s="45">
        <v>18</v>
      </c>
      <c r="S14" s="45">
        <v>19</v>
      </c>
      <c r="T14" s="45">
        <v>20</v>
      </c>
      <c r="U14" s="45">
        <v>21</v>
      </c>
      <c r="V14" s="45">
        <v>22</v>
      </c>
      <c r="W14" s="45">
        <v>23</v>
      </c>
      <c r="X14" s="45">
        <v>24</v>
      </c>
      <c r="Y14" s="45">
        <v>25</v>
      </c>
      <c r="Z14" s="7"/>
    </row>
    <row r="15" spans="1:25" ht="15.75">
      <c r="A15" s="46"/>
      <c r="B15" s="70"/>
      <c r="C15" s="61"/>
      <c r="D15" s="61"/>
      <c r="E15" s="61"/>
      <c r="F15" s="61"/>
      <c r="G15" s="61"/>
      <c r="H15" s="61"/>
      <c r="I15" s="61"/>
      <c r="J15" s="61"/>
      <c r="K15" s="61"/>
      <c r="L15" s="61"/>
      <c r="M15" s="61"/>
      <c r="N15" s="61"/>
      <c r="O15" s="61"/>
      <c r="P15" s="61"/>
      <c r="Q15" s="61"/>
      <c r="R15" s="61"/>
      <c r="S15" s="61"/>
      <c r="T15" s="61"/>
      <c r="U15" s="61"/>
      <c r="V15" s="61"/>
      <c r="W15" s="60"/>
      <c r="X15" s="60"/>
      <c r="Y15" s="60"/>
    </row>
    <row r="16" spans="1:2" ht="15.75">
      <c r="A16" s="46"/>
      <c r="B16" s="48"/>
    </row>
  </sheetData>
  <sheetProtection/>
  <mergeCells count="31">
    <mergeCell ref="R11:R13"/>
    <mergeCell ref="N12:N13"/>
    <mergeCell ref="O12:P12"/>
    <mergeCell ref="M12:M13"/>
    <mergeCell ref="K12:K13"/>
    <mergeCell ref="D11:F11"/>
    <mergeCell ref="C11:C13"/>
    <mergeCell ref="Q11:Q13"/>
    <mergeCell ref="M11:P11"/>
    <mergeCell ref="G11:G13"/>
    <mergeCell ref="H12:H13"/>
    <mergeCell ref="D12:E12"/>
    <mergeCell ref="F12:F13"/>
    <mergeCell ref="I12:J12"/>
    <mergeCell ref="Y11:Y13"/>
    <mergeCell ref="S12:T12"/>
    <mergeCell ref="U12:V12"/>
    <mergeCell ref="X12:X13"/>
    <mergeCell ref="W12:W13"/>
    <mergeCell ref="S11:V11"/>
    <mergeCell ref="W11:X11"/>
    <mergeCell ref="A4:L4"/>
    <mergeCell ref="A9:L9"/>
    <mergeCell ref="A6:L6"/>
    <mergeCell ref="A7:L7"/>
    <mergeCell ref="A8:L8"/>
    <mergeCell ref="L12:L13"/>
    <mergeCell ref="A10:X10"/>
    <mergeCell ref="A11:A13"/>
    <mergeCell ref="B11:B13"/>
    <mergeCell ref="H11:L11"/>
  </mergeCells>
  <printOptions/>
  <pageMargins left="0.7086614173228347" right="0.7086614173228347" top="0.7480314960629921" bottom="0.7480314960629921" header="0.31496062992125984" footer="0.31496062992125984"/>
  <pageSetup fitToWidth="2" fitToHeight="1" horizontalDpi="600" verticalDpi="600" orientation="landscape" paperSize="8" scale="70" r:id="rId1"/>
  <headerFooter differentFirst="1">
    <oddHeader>&amp;C&amp;P</oddHeader>
  </headerFooter>
</worksheet>
</file>

<file path=xl/worksheets/sheet18.xml><?xml version="1.0" encoding="utf-8"?>
<worksheet xmlns="http://schemas.openxmlformats.org/spreadsheetml/2006/main" xmlns:r="http://schemas.openxmlformats.org/officeDocument/2006/relationships">
  <sheetPr>
    <tabColor indexed="10"/>
    <pageSetUpPr fitToPage="1"/>
  </sheetPr>
  <dimension ref="A1:AC15"/>
  <sheetViews>
    <sheetView view="pageBreakPreview" zoomScale="90" zoomScaleSheetLayoutView="90" zoomScalePageLayoutView="0" workbookViewId="0" topLeftCell="A7">
      <selection activeCell="H12" sqref="H12:H13"/>
    </sheetView>
  </sheetViews>
  <sheetFormatPr defaultColWidth="9.00390625" defaultRowHeight="15.75"/>
  <cols>
    <col min="1" max="1" width="10.25390625" style="36" customWidth="1"/>
    <col min="2" max="2" width="21.75390625" style="36" customWidth="1"/>
    <col min="3" max="3" width="15.75390625" style="36" customWidth="1"/>
    <col min="4" max="4" width="20.50390625" style="36" customWidth="1"/>
    <col min="5" max="5" width="11.75390625" style="36" customWidth="1"/>
    <col min="6" max="6" width="11.125" style="36" customWidth="1"/>
    <col min="7" max="7" width="16.125" style="36" customWidth="1"/>
    <col min="8" max="8" width="17.25390625" style="36" customWidth="1"/>
    <col min="9" max="9" width="21.125" style="36" customWidth="1"/>
    <col min="10" max="10" width="19.875" style="36" customWidth="1"/>
    <col min="11" max="11" width="15.50390625" style="36" customWidth="1"/>
    <col min="12" max="12" width="15.00390625" style="36" customWidth="1"/>
    <col min="13" max="13" width="14.375" style="36" customWidth="1"/>
    <col min="14" max="14" width="24.50390625" style="36" customWidth="1"/>
    <col min="15" max="16" width="19.875" style="36" customWidth="1"/>
    <col min="17" max="17" width="14.25390625" style="8" customWidth="1"/>
    <col min="18" max="18" width="8.625" style="7" customWidth="1"/>
    <col min="19" max="19" width="6.75390625" style="7" customWidth="1"/>
    <col min="20" max="21" width="9.50390625" style="7" customWidth="1"/>
    <col min="22" max="22" width="14.50390625" style="36" customWidth="1"/>
    <col min="23" max="23" width="13.25390625" style="36" customWidth="1"/>
    <col min="24" max="24" width="13.125" style="36" customWidth="1"/>
    <col min="25" max="16384" width="9.00390625" style="36" customWidth="1"/>
  </cols>
  <sheetData>
    <row r="1" spans="1:24" s="32" customFormat="1" ht="18.75" customHeight="1">
      <c r="A1" s="31"/>
      <c r="Q1" s="8"/>
      <c r="R1" s="7"/>
      <c r="S1" s="7"/>
      <c r="T1" s="7"/>
      <c r="X1" s="26" t="s">
        <v>174</v>
      </c>
    </row>
    <row r="2" spans="1:24" s="32" customFormat="1" ht="18.75" customHeight="1">
      <c r="A2" s="31"/>
      <c r="Q2" s="8"/>
      <c r="R2" s="7"/>
      <c r="S2" s="7"/>
      <c r="T2" s="7"/>
      <c r="X2" s="16" t="s">
        <v>423</v>
      </c>
    </row>
    <row r="3" spans="1:24" s="32" customFormat="1" ht="18.75">
      <c r="A3" s="33"/>
      <c r="Q3" s="8"/>
      <c r="R3" s="7"/>
      <c r="S3" s="7"/>
      <c r="T3" s="7"/>
      <c r="X3" s="16" t="s">
        <v>469</v>
      </c>
    </row>
    <row r="4" spans="1:24" s="32" customFormat="1" ht="16.5">
      <c r="A4" s="670" t="s">
        <v>207</v>
      </c>
      <c r="B4" s="670"/>
      <c r="C4" s="670"/>
      <c r="D4" s="670"/>
      <c r="E4" s="670"/>
      <c r="F4" s="670"/>
      <c r="G4" s="670"/>
      <c r="H4" s="670"/>
      <c r="I4" s="670"/>
      <c r="J4" s="670"/>
      <c r="K4" s="670"/>
      <c r="L4" s="670"/>
      <c r="M4" s="670"/>
      <c r="N4" s="670"/>
      <c r="O4" s="670"/>
      <c r="P4" s="670"/>
      <c r="Q4" s="670"/>
      <c r="R4" s="670"/>
      <c r="S4" s="670"/>
      <c r="T4" s="670"/>
      <c r="U4" s="670"/>
      <c r="V4" s="670"/>
      <c r="W4" s="670"/>
      <c r="X4" s="670"/>
    </row>
    <row r="5" spans="1:24" s="32" customFormat="1" ht="15.75">
      <c r="A5" s="777"/>
      <c r="B5" s="777"/>
      <c r="C5" s="777"/>
      <c r="D5" s="777"/>
      <c r="E5" s="777"/>
      <c r="F5" s="777"/>
      <c r="G5" s="777"/>
      <c r="H5" s="777"/>
      <c r="I5" s="777"/>
      <c r="J5" s="777"/>
      <c r="K5" s="777"/>
      <c r="L5" s="777"/>
      <c r="M5" s="777"/>
      <c r="N5" s="777"/>
      <c r="O5" s="777"/>
      <c r="P5" s="777"/>
      <c r="Q5" s="777"/>
      <c r="R5" s="777"/>
      <c r="S5" s="777"/>
      <c r="T5" s="777"/>
      <c r="U5" s="777"/>
      <c r="V5" s="777"/>
      <c r="W5" s="777"/>
      <c r="X5" s="777"/>
    </row>
    <row r="6" spans="1:29" s="32" customFormat="1" ht="15.75">
      <c r="A6" s="663" t="s">
        <v>23</v>
      </c>
      <c r="B6" s="663"/>
      <c r="C6" s="663"/>
      <c r="D6" s="663"/>
      <c r="E6" s="663"/>
      <c r="F6" s="663"/>
      <c r="G6" s="663"/>
      <c r="H6" s="663"/>
      <c r="I6" s="663"/>
      <c r="J6" s="663"/>
      <c r="K6" s="663"/>
      <c r="L6" s="663"/>
      <c r="M6" s="663"/>
      <c r="N6" s="663"/>
      <c r="O6" s="663"/>
      <c r="P6" s="663"/>
      <c r="Q6" s="663"/>
      <c r="R6" s="663"/>
      <c r="S6" s="663"/>
      <c r="T6" s="663"/>
      <c r="U6" s="663"/>
      <c r="V6" s="663"/>
      <c r="W6" s="663"/>
      <c r="X6" s="663"/>
      <c r="Y6" s="82"/>
      <c r="Z6" s="82"/>
      <c r="AA6" s="82"/>
      <c r="AB6" s="82"/>
      <c r="AC6" s="82"/>
    </row>
    <row r="7" spans="1:29" s="32" customFormat="1" ht="15.75">
      <c r="A7" s="663" t="s">
        <v>126</v>
      </c>
      <c r="B7" s="663"/>
      <c r="C7" s="663"/>
      <c r="D7" s="663"/>
      <c r="E7" s="663"/>
      <c r="F7" s="663"/>
      <c r="G7" s="663"/>
      <c r="H7" s="663"/>
      <c r="I7" s="663"/>
      <c r="J7" s="663"/>
      <c r="K7" s="663"/>
      <c r="L7" s="663"/>
      <c r="M7" s="663"/>
      <c r="N7" s="663"/>
      <c r="O7" s="663"/>
      <c r="P7" s="663"/>
      <c r="Q7" s="663"/>
      <c r="R7" s="663"/>
      <c r="S7" s="663"/>
      <c r="T7" s="663"/>
      <c r="U7" s="663"/>
      <c r="V7" s="663"/>
      <c r="W7" s="663"/>
      <c r="X7" s="663"/>
      <c r="Y7" s="76"/>
      <c r="Z7" s="76"/>
      <c r="AA7" s="76"/>
      <c r="AB7" s="76"/>
      <c r="AC7" s="76"/>
    </row>
    <row r="8" spans="1:29" s="32" customFormat="1" ht="15.75">
      <c r="A8" s="542"/>
      <c r="B8" s="542"/>
      <c r="C8" s="542"/>
      <c r="D8" s="542"/>
      <c r="E8" s="542"/>
      <c r="F8" s="542"/>
      <c r="G8" s="542"/>
      <c r="H8" s="542"/>
      <c r="I8" s="542"/>
      <c r="J8" s="542"/>
      <c r="K8" s="542"/>
      <c r="L8" s="542"/>
      <c r="M8" s="542"/>
      <c r="N8" s="542"/>
      <c r="O8" s="542"/>
      <c r="P8" s="542"/>
      <c r="Q8" s="542"/>
      <c r="R8" s="542"/>
      <c r="S8" s="542"/>
      <c r="T8" s="542"/>
      <c r="U8" s="542"/>
      <c r="V8" s="542"/>
      <c r="W8" s="542"/>
      <c r="X8" s="542"/>
      <c r="Y8" s="76"/>
      <c r="Z8" s="76"/>
      <c r="AA8" s="76"/>
      <c r="AB8" s="76"/>
      <c r="AC8" s="76"/>
    </row>
    <row r="9" spans="1:29" s="32" customFormat="1" ht="16.5">
      <c r="A9" s="778" t="s">
        <v>489</v>
      </c>
      <c r="B9" s="778"/>
      <c r="C9" s="778"/>
      <c r="D9" s="778"/>
      <c r="E9" s="778"/>
      <c r="F9" s="778"/>
      <c r="G9" s="778"/>
      <c r="H9" s="778"/>
      <c r="I9" s="778"/>
      <c r="J9" s="778"/>
      <c r="K9" s="778"/>
      <c r="L9" s="778"/>
      <c r="M9" s="778"/>
      <c r="N9" s="778"/>
      <c r="O9" s="778"/>
      <c r="P9" s="778"/>
      <c r="Q9" s="778"/>
      <c r="R9" s="778"/>
      <c r="S9" s="778"/>
      <c r="T9" s="778"/>
      <c r="U9" s="778"/>
      <c r="V9" s="778"/>
      <c r="W9" s="778"/>
      <c r="X9" s="778"/>
      <c r="Y9" s="12"/>
      <c r="Z9" s="12"/>
      <c r="AA9" s="12"/>
      <c r="AB9" s="12"/>
      <c r="AC9" s="12"/>
    </row>
    <row r="10" spans="1:22" s="32" customFormat="1" ht="18.75">
      <c r="A10" s="768"/>
      <c r="B10" s="768"/>
      <c r="C10" s="768"/>
      <c r="D10" s="768"/>
      <c r="E10" s="768"/>
      <c r="F10" s="768"/>
      <c r="G10" s="768"/>
      <c r="H10" s="768"/>
      <c r="I10" s="768"/>
      <c r="J10" s="768"/>
      <c r="K10" s="768"/>
      <c r="L10" s="768"/>
      <c r="M10" s="768"/>
      <c r="N10" s="768"/>
      <c r="O10" s="768"/>
      <c r="P10" s="768"/>
      <c r="Q10" s="768"/>
      <c r="R10" s="768"/>
      <c r="S10" s="768"/>
      <c r="T10" s="768"/>
      <c r="U10" s="768"/>
      <c r="V10" s="768"/>
    </row>
    <row r="11" spans="1:24" s="32" customFormat="1" ht="83.25" customHeight="1">
      <c r="A11" s="772" t="s">
        <v>172</v>
      </c>
      <c r="B11" s="772" t="s">
        <v>452</v>
      </c>
      <c r="C11" s="772" t="s">
        <v>453</v>
      </c>
      <c r="D11" s="779" t="s">
        <v>191</v>
      </c>
      <c r="E11" s="769" t="s">
        <v>569</v>
      </c>
      <c r="F11" s="769" t="s">
        <v>564</v>
      </c>
      <c r="G11" s="769" t="s">
        <v>120</v>
      </c>
      <c r="H11" s="772" t="s">
        <v>511</v>
      </c>
      <c r="I11" s="772"/>
      <c r="J11" s="772"/>
      <c r="K11" s="772"/>
      <c r="L11" s="773" t="s">
        <v>510</v>
      </c>
      <c r="M11" s="774"/>
      <c r="N11" s="675" t="s">
        <v>468</v>
      </c>
      <c r="O11" s="675" t="s">
        <v>467</v>
      </c>
      <c r="P11" s="689" t="s">
        <v>173</v>
      </c>
      <c r="Q11" s="765" t="s">
        <v>171</v>
      </c>
      <c r="R11" s="687" t="s">
        <v>168</v>
      </c>
      <c r="S11" s="687"/>
      <c r="T11" s="687"/>
      <c r="U11" s="687"/>
      <c r="V11" s="772" t="s">
        <v>568</v>
      </c>
      <c r="W11" s="772" t="s">
        <v>154</v>
      </c>
      <c r="X11" s="772"/>
    </row>
    <row r="12" spans="1:24" s="30" customFormat="1" ht="96.75" customHeight="1">
      <c r="A12" s="772"/>
      <c r="B12" s="772"/>
      <c r="C12" s="772"/>
      <c r="D12" s="779"/>
      <c r="E12" s="770"/>
      <c r="F12" s="770"/>
      <c r="G12" s="770"/>
      <c r="H12" s="772" t="s">
        <v>559</v>
      </c>
      <c r="I12" s="772" t="s">
        <v>560</v>
      </c>
      <c r="J12" s="772" t="s">
        <v>561</v>
      </c>
      <c r="K12" s="769" t="s">
        <v>562</v>
      </c>
      <c r="L12" s="775"/>
      <c r="M12" s="776"/>
      <c r="N12" s="675"/>
      <c r="O12" s="675"/>
      <c r="P12" s="690"/>
      <c r="Q12" s="766"/>
      <c r="R12" s="762" t="s">
        <v>167</v>
      </c>
      <c r="S12" s="764"/>
      <c r="T12" s="676" t="s">
        <v>169</v>
      </c>
      <c r="U12" s="676"/>
      <c r="V12" s="772"/>
      <c r="W12" s="772"/>
      <c r="X12" s="772"/>
    </row>
    <row r="13" spans="1:24" s="30" customFormat="1" ht="99" customHeight="1">
      <c r="A13" s="772"/>
      <c r="B13" s="772"/>
      <c r="C13" s="772"/>
      <c r="D13" s="779"/>
      <c r="E13" s="771"/>
      <c r="F13" s="771"/>
      <c r="G13" s="771"/>
      <c r="H13" s="772"/>
      <c r="I13" s="772"/>
      <c r="J13" s="772"/>
      <c r="K13" s="771"/>
      <c r="L13" s="95" t="s">
        <v>509</v>
      </c>
      <c r="M13" s="70" t="s">
        <v>466</v>
      </c>
      <c r="N13" s="675"/>
      <c r="O13" s="675"/>
      <c r="P13" s="691"/>
      <c r="Q13" s="767"/>
      <c r="R13" s="68" t="s">
        <v>457</v>
      </c>
      <c r="S13" s="68" t="s">
        <v>458</v>
      </c>
      <c r="T13" s="68" t="s">
        <v>457</v>
      </c>
      <c r="U13" s="68" t="s">
        <v>458</v>
      </c>
      <c r="V13" s="772"/>
      <c r="W13" s="101" t="s">
        <v>124</v>
      </c>
      <c r="X13" s="102" t="s">
        <v>570</v>
      </c>
    </row>
    <row r="14" spans="1:24" s="35" customFormat="1" ht="15.75">
      <c r="A14" s="98">
        <v>1</v>
      </c>
      <c r="B14" s="98">
        <v>2</v>
      </c>
      <c r="C14" s="98">
        <v>3</v>
      </c>
      <c r="D14" s="98">
        <v>4</v>
      </c>
      <c r="E14" s="98">
        <v>5</v>
      </c>
      <c r="F14" s="98">
        <v>6</v>
      </c>
      <c r="G14" s="98">
        <v>7</v>
      </c>
      <c r="H14" s="98">
        <v>8</v>
      </c>
      <c r="I14" s="98">
        <v>9</v>
      </c>
      <c r="J14" s="98">
        <v>10</v>
      </c>
      <c r="K14" s="98">
        <v>11</v>
      </c>
      <c r="L14" s="98">
        <v>12</v>
      </c>
      <c r="M14" s="98">
        <v>13</v>
      </c>
      <c r="N14" s="98">
        <v>14</v>
      </c>
      <c r="O14" s="98">
        <v>15</v>
      </c>
      <c r="P14" s="98">
        <v>16</v>
      </c>
      <c r="Q14" s="98">
        <v>17</v>
      </c>
      <c r="R14" s="98">
        <v>18</v>
      </c>
      <c r="S14" s="98">
        <v>19</v>
      </c>
      <c r="T14" s="98">
        <v>20</v>
      </c>
      <c r="U14" s="98">
        <v>21</v>
      </c>
      <c r="V14" s="98">
        <v>22</v>
      </c>
      <c r="W14" s="98">
        <v>23</v>
      </c>
      <c r="X14" s="98">
        <v>24</v>
      </c>
    </row>
    <row r="15" spans="1:24" ht="15.75">
      <c r="A15" s="67"/>
      <c r="B15" s="99"/>
      <c r="C15" s="38"/>
      <c r="D15" s="38"/>
      <c r="E15" s="38"/>
      <c r="F15" s="38"/>
      <c r="G15" s="38"/>
      <c r="H15" s="37"/>
      <c r="I15" s="37"/>
      <c r="J15" s="37"/>
      <c r="K15" s="37"/>
      <c r="L15" s="38"/>
      <c r="M15" s="38"/>
      <c r="N15" s="38"/>
      <c r="O15" s="38"/>
      <c r="P15" s="38"/>
      <c r="Q15" s="61"/>
      <c r="R15" s="61"/>
      <c r="S15" s="61"/>
      <c r="T15" s="61"/>
      <c r="U15" s="61"/>
      <c r="V15" s="38"/>
      <c r="W15" s="37"/>
      <c r="X15" s="37"/>
    </row>
  </sheetData>
  <sheetProtection/>
  <mergeCells count="29">
    <mergeCell ref="A4:X4"/>
    <mergeCell ref="A5:X5"/>
    <mergeCell ref="A9:X9"/>
    <mergeCell ref="C11:C13"/>
    <mergeCell ref="D11:D13"/>
    <mergeCell ref="E11:E13"/>
    <mergeCell ref="F11:F13"/>
    <mergeCell ref="A6:X6"/>
    <mergeCell ref="A7:X7"/>
    <mergeCell ref="A8:X8"/>
    <mergeCell ref="W11:X12"/>
    <mergeCell ref="R12:S12"/>
    <mergeCell ref="T12:U12"/>
    <mergeCell ref="L11:M12"/>
    <mergeCell ref="N11:N13"/>
    <mergeCell ref="H12:H13"/>
    <mergeCell ref="I12:I13"/>
    <mergeCell ref="J12:J13"/>
    <mergeCell ref="K12:K13"/>
    <mergeCell ref="O11:O13"/>
    <mergeCell ref="P11:P13"/>
    <mergeCell ref="Q11:Q13"/>
    <mergeCell ref="A10:V10"/>
    <mergeCell ref="G11:G13"/>
    <mergeCell ref="R11:U11"/>
    <mergeCell ref="V11:V13"/>
    <mergeCell ref="H11:K11"/>
    <mergeCell ref="A11:A13"/>
    <mergeCell ref="B11:B1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9"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sheetPr>
    <tabColor rgb="FF92D050"/>
  </sheetPr>
  <dimension ref="A1:V89"/>
  <sheetViews>
    <sheetView view="pageBreakPreview" zoomScale="90" zoomScaleNormal="85" zoomScaleSheetLayoutView="90" zoomScalePageLayoutView="0" workbookViewId="0" topLeftCell="A10">
      <selection activeCell="C24" sqref="C24"/>
    </sheetView>
  </sheetViews>
  <sheetFormatPr defaultColWidth="9.00390625" defaultRowHeight="15.75"/>
  <cols>
    <col min="1" max="1" width="10.50390625" style="51" customWidth="1"/>
    <col min="2" max="2" width="37.375" style="7" customWidth="1"/>
    <col min="3" max="3" width="21.50390625" style="7" customWidth="1"/>
    <col min="4" max="4" width="18.875" style="7" customWidth="1"/>
    <col min="5" max="7" width="23.50390625" style="7" customWidth="1"/>
    <col min="8" max="16384" width="9.00390625" style="7" customWidth="1"/>
  </cols>
  <sheetData>
    <row r="1" spans="1:7" ht="15.75" customHeight="1">
      <c r="A1" s="783" t="s">
        <v>175</v>
      </c>
      <c r="B1" s="783"/>
      <c r="C1" s="783"/>
      <c r="D1" s="783"/>
      <c r="E1" s="783"/>
      <c r="F1" s="783"/>
      <c r="G1" s="783"/>
    </row>
    <row r="2" spans="1:7" ht="15.75" customHeight="1">
      <c r="A2" s="784" t="s">
        <v>423</v>
      </c>
      <c r="B2" s="784"/>
      <c r="C2" s="784"/>
      <c r="D2" s="784"/>
      <c r="E2" s="784"/>
      <c r="F2" s="784"/>
      <c r="G2" s="784"/>
    </row>
    <row r="3" spans="1:7" ht="15.75" customHeight="1">
      <c r="A3" s="784" t="s">
        <v>589</v>
      </c>
      <c r="B3" s="784"/>
      <c r="C3" s="784"/>
      <c r="D3" s="784"/>
      <c r="E3" s="784"/>
      <c r="F3" s="784"/>
      <c r="G3" s="784"/>
    </row>
    <row r="5" ht="15.75">
      <c r="G5" s="251" t="s">
        <v>591</v>
      </c>
    </row>
    <row r="6" ht="15.75">
      <c r="G6" s="251" t="s">
        <v>592</v>
      </c>
    </row>
    <row r="7" ht="15.75">
      <c r="G7" s="251"/>
    </row>
    <row r="8" ht="15.75">
      <c r="G8" s="251" t="s">
        <v>597</v>
      </c>
    </row>
    <row r="9" spans="6:7" ht="15.75">
      <c r="F9" s="310" t="s">
        <v>593</v>
      </c>
      <c r="G9" s="251"/>
    </row>
    <row r="10" ht="15.75">
      <c r="G10" s="251" t="s">
        <v>774</v>
      </c>
    </row>
    <row r="11" ht="15.75">
      <c r="G11" s="251"/>
    </row>
    <row r="13" spans="1:7" ht="15.75">
      <c r="A13" s="788" t="s">
        <v>204</v>
      </c>
      <c r="B13" s="788"/>
      <c r="C13" s="788"/>
      <c r="D13" s="788"/>
      <c r="E13" s="788"/>
      <c r="F13" s="788"/>
      <c r="G13" s="788"/>
    </row>
    <row r="14" spans="1:16" ht="15.75">
      <c r="A14" s="663" t="str">
        <f>1!A14:U14</f>
        <v>Инвестиционная программа Филиала "Железноводские электрические сети" ООО "КЭУК".</v>
      </c>
      <c r="B14" s="663"/>
      <c r="C14" s="663"/>
      <c r="D14" s="663"/>
      <c r="E14" s="663"/>
      <c r="F14" s="663"/>
      <c r="G14" s="663"/>
      <c r="H14" s="82"/>
      <c r="I14" s="82"/>
      <c r="J14" s="82"/>
      <c r="K14" s="82"/>
      <c r="L14" s="82"/>
      <c r="M14" s="82"/>
      <c r="N14" s="82"/>
      <c r="O14" s="9"/>
      <c r="P14" s="8"/>
    </row>
    <row r="15" spans="1:16" ht="15.75">
      <c r="A15" s="542" t="s">
        <v>126</v>
      </c>
      <c r="B15" s="542"/>
      <c r="C15" s="542"/>
      <c r="D15" s="542"/>
      <c r="E15" s="542"/>
      <c r="F15" s="542"/>
      <c r="G15" s="542"/>
      <c r="H15" s="76"/>
      <c r="I15" s="76"/>
      <c r="J15" s="76"/>
      <c r="K15" s="76"/>
      <c r="L15" s="76"/>
      <c r="M15" s="76"/>
      <c r="N15" s="76"/>
      <c r="O15" s="9"/>
      <c r="P15" s="8"/>
    </row>
    <row r="16" spans="1:16" ht="15.75">
      <c r="A16" s="542"/>
      <c r="B16" s="542"/>
      <c r="C16" s="542"/>
      <c r="D16" s="542"/>
      <c r="E16" s="542"/>
      <c r="F16" s="542"/>
      <c r="G16" s="542"/>
      <c r="H16" s="72"/>
      <c r="I16" s="72"/>
      <c r="J16" s="72"/>
      <c r="K16" s="72"/>
      <c r="L16" s="72"/>
      <c r="M16" s="72"/>
      <c r="N16" s="72"/>
      <c r="O16" s="9"/>
      <c r="P16" s="8"/>
    </row>
    <row r="17" spans="1:7" ht="15.75">
      <c r="A17" s="561" t="str">
        <f>1!A17:U17</f>
        <v>Год раскрытия информации: 2018 год</v>
      </c>
      <c r="B17" s="561"/>
      <c r="C17" s="561"/>
      <c r="D17" s="561"/>
      <c r="E17" s="561"/>
      <c r="F17" s="561"/>
      <c r="G17" s="561"/>
    </row>
    <row r="18" spans="2:7" s="53" customFormat="1" ht="15.75" thickBot="1">
      <c r="B18" s="7"/>
      <c r="C18" s="7"/>
      <c r="D18" s="7"/>
      <c r="E18" s="7"/>
      <c r="F18" s="7"/>
      <c r="G18" s="7"/>
    </row>
    <row r="19" spans="1:7" s="52" customFormat="1" ht="34.5" customHeight="1">
      <c r="A19" s="781" t="s">
        <v>242</v>
      </c>
      <c r="B19" s="780" t="s">
        <v>437</v>
      </c>
      <c r="C19" s="780" t="s">
        <v>246</v>
      </c>
      <c r="D19" s="780" t="s">
        <v>525</v>
      </c>
      <c r="E19" s="785" t="s">
        <v>259</v>
      </c>
      <c r="F19" s="786"/>
      <c r="G19" s="787"/>
    </row>
    <row r="20" spans="1:7" s="53" customFormat="1" ht="34.5" customHeight="1" thickBot="1">
      <c r="A20" s="782"/>
      <c r="B20" s="760"/>
      <c r="C20" s="760"/>
      <c r="D20" s="760"/>
      <c r="E20" s="105">
        <v>2017</v>
      </c>
      <c r="F20" s="105">
        <v>2018</v>
      </c>
      <c r="G20" s="314">
        <v>2019</v>
      </c>
    </row>
    <row r="21" spans="1:7" s="53" customFormat="1" ht="15.75" customHeight="1" thickBot="1">
      <c r="A21" s="315">
        <v>1</v>
      </c>
      <c r="B21" s="316">
        <v>2</v>
      </c>
      <c r="C21" s="317">
        <v>3</v>
      </c>
      <c r="D21" s="316">
        <v>4</v>
      </c>
      <c r="E21" s="318" t="s">
        <v>534</v>
      </c>
      <c r="F21" s="319" t="s">
        <v>535</v>
      </c>
      <c r="G21" s="320" t="s">
        <v>547</v>
      </c>
    </row>
    <row r="22" spans="1:7" s="11" customFormat="1" ht="99.75" customHeight="1">
      <c r="A22" s="332">
        <v>1</v>
      </c>
      <c r="B22" s="333" t="s">
        <v>214</v>
      </c>
      <c r="C22" s="334" t="s">
        <v>74</v>
      </c>
      <c r="D22" s="335">
        <v>42698</v>
      </c>
      <c r="E22" s="336">
        <v>105.4</v>
      </c>
      <c r="F22" s="336">
        <v>104.4</v>
      </c>
      <c r="G22" s="337">
        <v>104.6</v>
      </c>
    </row>
    <row r="23" spans="1:7" s="11" customFormat="1" ht="99.75" customHeight="1">
      <c r="A23" s="338">
        <v>2</v>
      </c>
      <c r="B23" s="339" t="s">
        <v>75</v>
      </c>
      <c r="C23" s="340" t="s">
        <v>74</v>
      </c>
      <c r="D23" s="341">
        <v>41586</v>
      </c>
      <c r="E23" s="342">
        <v>106</v>
      </c>
      <c r="F23" s="342">
        <v>105</v>
      </c>
      <c r="G23" s="343">
        <v>104.7</v>
      </c>
    </row>
    <row r="24" spans="1:7" s="11" customFormat="1" ht="99.75" customHeight="1" thickBot="1">
      <c r="A24" s="344">
        <v>3</v>
      </c>
      <c r="B24" s="345" t="s">
        <v>215</v>
      </c>
      <c r="C24" s="346"/>
      <c r="D24" s="346"/>
      <c r="E24" s="346"/>
      <c r="F24" s="346"/>
      <c r="G24" s="347"/>
    </row>
    <row r="25" spans="1:7" s="8" customFormat="1" ht="15">
      <c r="A25" s="55"/>
      <c r="B25" s="311"/>
      <c r="C25" s="312"/>
      <c r="D25" s="312"/>
      <c r="E25" s="312"/>
      <c r="F25" s="312"/>
      <c r="G25" s="313"/>
    </row>
    <row r="26" spans="1:7" s="8" customFormat="1" ht="15">
      <c r="A26" s="55"/>
      <c r="B26" s="311"/>
      <c r="C26" s="312"/>
      <c r="D26" s="312"/>
      <c r="E26" s="312"/>
      <c r="F26" s="312"/>
      <c r="G26" s="313"/>
    </row>
    <row r="27" spans="1:7" s="8" customFormat="1" ht="15">
      <c r="A27" s="55"/>
      <c r="B27" s="311"/>
      <c r="C27" s="312"/>
      <c r="D27" s="312"/>
      <c r="E27" s="312"/>
      <c r="F27" s="312"/>
      <c r="G27" s="313"/>
    </row>
    <row r="28" spans="1:22" s="8" customFormat="1" ht="15.75" customHeight="1">
      <c r="A28" s="55"/>
      <c r="B28" s="603" t="s">
        <v>612</v>
      </c>
      <c r="C28" s="603"/>
      <c r="D28" s="603"/>
      <c r="E28" s="603"/>
      <c r="F28" s="603"/>
      <c r="G28" s="603"/>
      <c r="H28" s="603"/>
      <c r="I28" s="603"/>
      <c r="J28" s="603"/>
      <c r="K28" s="603"/>
      <c r="L28" s="603"/>
      <c r="M28" s="603"/>
      <c r="N28" s="603"/>
      <c r="O28" s="603"/>
      <c r="P28" s="603"/>
      <c r="Q28" s="603"/>
      <c r="R28" s="603"/>
      <c r="S28" s="603"/>
      <c r="T28" s="603"/>
      <c r="U28" s="603"/>
      <c r="V28" s="603"/>
    </row>
    <row r="29" spans="1:8" s="8" customFormat="1" ht="48.75" customHeight="1">
      <c r="A29" s="10"/>
      <c r="B29" s="62"/>
      <c r="C29" s="62"/>
      <c r="D29" s="62"/>
      <c r="E29" s="62"/>
      <c r="F29" s="62"/>
      <c r="G29" s="62"/>
      <c r="H29" s="7"/>
    </row>
    <row r="30" s="8" customFormat="1" ht="15">
      <c r="A30" s="10"/>
    </row>
    <row r="31" s="8" customFormat="1" ht="15">
      <c r="A31" s="10"/>
    </row>
    <row r="32" spans="1:8" s="8" customFormat="1" ht="51.75" customHeight="1">
      <c r="A32" s="10"/>
      <c r="H32" s="56"/>
    </row>
    <row r="33" spans="1:8" s="8" customFormat="1" ht="31.5" customHeight="1">
      <c r="A33" s="10"/>
      <c r="H33" s="57"/>
    </row>
    <row r="34" spans="1:8" s="8" customFormat="1" ht="49.5" customHeight="1">
      <c r="A34" s="10"/>
      <c r="H34" s="58"/>
    </row>
    <row r="35" spans="1:8" s="8" customFormat="1" ht="49.5" customHeight="1">
      <c r="A35" s="10"/>
      <c r="B35" s="54"/>
      <c r="C35" s="54"/>
      <c r="D35" s="54"/>
      <c r="E35" s="54"/>
      <c r="F35" s="54"/>
      <c r="G35" s="54"/>
      <c r="H35" s="58"/>
    </row>
    <row r="36" spans="1:8" s="8" customFormat="1" ht="29.25" customHeight="1">
      <c r="A36" s="10"/>
      <c r="B36" s="55"/>
      <c r="C36" s="55"/>
      <c r="D36" s="55"/>
      <c r="E36" s="55"/>
      <c r="F36" s="55"/>
      <c r="G36" s="55"/>
      <c r="H36" s="58"/>
    </row>
    <row r="37" ht="15">
      <c r="H37" s="58"/>
    </row>
    <row r="38" ht="15.75" customHeight="1">
      <c r="H38" s="58"/>
    </row>
    <row r="39" ht="43.5" customHeight="1">
      <c r="H39" s="58"/>
    </row>
    <row r="40" ht="15.75" customHeight="1">
      <c r="H40" s="58"/>
    </row>
    <row r="41" ht="45" customHeight="1">
      <c r="H41" s="58"/>
    </row>
    <row r="42" ht="46.5" customHeight="1">
      <c r="H42" s="58"/>
    </row>
    <row r="43" ht="52.5" customHeight="1">
      <c r="H43" s="58"/>
    </row>
    <row r="44" ht="30" customHeight="1">
      <c r="H44" s="58"/>
    </row>
    <row r="45" ht="15.75" customHeight="1">
      <c r="H45" s="58"/>
    </row>
    <row r="46" ht="15.75" customHeight="1">
      <c r="H46" s="58"/>
    </row>
    <row r="47" ht="15.75" customHeight="1">
      <c r="H47" s="58"/>
    </row>
    <row r="48" ht="15.75" customHeight="1">
      <c r="H48" s="58"/>
    </row>
    <row r="49" ht="42.75" customHeight="1">
      <c r="H49" s="58"/>
    </row>
    <row r="50" ht="43.5" customHeight="1">
      <c r="H50" s="58"/>
    </row>
    <row r="51" ht="54" customHeight="1">
      <c r="H51" s="58"/>
    </row>
    <row r="52" ht="15.75" customHeight="1">
      <c r="H52" s="58"/>
    </row>
    <row r="53" ht="50.25" customHeight="1">
      <c r="H53" s="58"/>
    </row>
    <row r="54" ht="34.5" customHeight="1">
      <c r="H54" s="58"/>
    </row>
    <row r="55" ht="15.75" customHeight="1">
      <c r="H55" s="58"/>
    </row>
    <row r="56" ht="15.75" customHeight="1">
      <c r="H56" s="58"/>
    </row>
    <row r="57" ht="35.25" customHeight="1">
      <c r="H57" s="58"/>
    </row>
    <row r="58" ht="45" customHeight="1">
      <c r="H58" s="58"/>
    </row>
    <row r="59" ht="78.75" customHeight="1">
      <c r="H59" s="58"/>
    </row>
    <row r="60" ht="45.75" customHeight="1">
      <c r="H60" s="58"/>
    </row>
    <row r="61" s="8" customFormat="1" ht="102" customHeight="1">
      <c r="A61" s="10"/>
    </row>
    <row r="62" s="8" customFormat="1" ht="54.75" customHeight="1">
      <c r="A62" s="10"/>
    </row>
    <row r="63" s="8" customFormat="1" ht="15">
      <c r="A63" s="10"/>
    </row>
    <row r="64" s="8" customFormat="1" ht="15">
      <c r="A64" s="10"/>
    </row>
    <row r="65" ht="38.25" customHeight="1">
      <c r="H65" s="58"/>
    </row>
    <row r="66" ht="15.75" customHeight="1">
      <c r="H66" s="58"/>
    </row>
    <row r="67" ht="15.75" customHeight="1">
      <c r="H67" s="58"/>
    </row>
    <row r="68" ht="15.75" customHeight="1">
      <c r="H68" s="58"/>
    </row>
    <row r="69" ht="102" customHeight="1">
      <c r="H69" s="58"/>
    </row>
    <row r="70" ht="57.75" customHeight="1">
      <c r="H70" s="58"/>
    </row>
    <row r="71" ht="48" customHeight="1">
      <c r="H71" s="58"/>
    </row>
    <row r="72" ht="15.75" customHeight="1">
      <c r="H72" s="58"/>
    </row>
    <row r="73" ht="30.75" customHeight="1">
      <c r="H73" s="58"/>
    </row>
    <row r="74" ht="15.75" customHeight="1">
      <c r="H74" s="58"/>
    </row>
    <row r="75" ht="15.75" customHeight="1">
      <c r="H75" s="58"/>
    </row>
    <row r="76" ht="15.75" customHeight="1">
      <c r="H76" s="58"/>
    </row>
    <row r="77" ht="15.75" customHeight="1">
      <c r="H77" s="58"/>
    </row>
    <row r="78" ht="15.75" customHeight="1">
      <c r="H78" s="58"/>
    </row>
    <row r="79" ht="15.75" customHeight="1">
      <c r="H79" s="58"/>
    </row>
    <row r="80" ht="15.75" customHeight="1">
      <c r="H80" s="58"/>
    </row>
    <row r="81" ht="15.75" customHeight="1">
      <c r="H81" s="58"/>
    </row>
    <row r="82" ht="15.75" customHeight="1">
      <c r="H82" s="58"/>
    </row>
    <row r="83" ht="15.75" customHeight="1">
      <c r="H83" s="58"/>
    </row>
    <row r="84" ht="15.75" customHeight="1">
      <c r="H84" s="58"/>
    </row>
    <row r="85" s="8" customFormat="1" ht="15.75" customHeight="1">
      <c r="A85" s="10"/>
    </row>
    <row r="86" ht="15">
      <c r="H86" s="58"/>
    </row>
    <row r="87" ht="45" customHeight="1">
      <c r="H87" s="59"/>
    </row>
    <row r="88" spans="2:8" ht="15">
      <c r="B88" s="18"/>
      <c r="C88" s="18"/>
      <c r="D88" s="18"/>
      <c r="E88" s="18"/>
      <c r="F88" s="18"/>
      <c r="G88" s="18"/>
      <c r="H88" s="59"/>
    </row>
    <row r="89" spans="2:8" s="51" customFormat="1" ht="19.5" customHeight="1">
      <c r="B89" s="7"/>
      <c r="C89" s="7"/>
      <c r="D89" s="7"/>
      <c r="E89" s="7"/>
      <c r="F89" s="7"/>
      <c r="G89" s="7"/>
      <c r="H89" s="7"/>
    </row>
  </sheetData>
  <sheetProtection/>
  <mergeCells count="14">
    <mergeCell ref="A15:G15"/>
    <mergeCell ref="A13:G13"/>
    <mergeCell ref="A14:G14"/>
    <mergeCell ref="A16:G16"/>
    <mergeCell ref="C19:C20"/>
    <mergeCell ref="D19:D20"/>
    <mergeCell ref="B19:B20"/>
    <mergeCell ref="A19:A20"/>
    <mergeCell ref="B28:V28"/>
    <mergeCell ref="A1:G1"/>
    <mergeCell ref="A2:G2"/>
    <mergeCell ref="A3:G3"/>
    <mergeCell ref="E19:G19"/>
    <mergeCell ref="A17:G17"/>
  </mergeCells>
  <printOptions/>
  <pageMargins left="0.7086614173228347" right="0.31496062992125984" top="0.7480314960629921" bottom="0.7480314960629921"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rgb="FF92D050"/>
  </sheetPr>
  <dimension ref="A1:AS104"/>
  <sheetViews>
    <sheetView view="pageBreakPreview" zoomScale="70" zoomScaleSheetLayoutView="70" zoomScalePageLayoutView="0" workbookViewId="0" topLeftCell="A16">
      <selection activeCell="B20" sqref="B20"/>
    </sheetView>
  </sheetViews>
  <sheetFormatPr defaultColWidth="9.00390625" defaultRowHeight="15.75"/>
  <cols>
    <col min="1" max="1" width="8.625" style="1" customWidth="1"/>
    <col min="2" max="2" width="102.875" style="1" customWidth="1"/>
    <col min="3" max="3" width="15.125" style="1" customWidth="1"/>
    <col min="4" max="4" width="5.50390625" style="1" customWidth="1"/>
    <col min="5" max="6" width="6.00390625" style="2" customWidth="1"/>
    <col min="7" max="7" width="6.50390625" style="1" customWidth="1"/>
    <col min="8" max="8" width="6.375" style="122" customWidth="1"/>
    <col min="9" max="9" width="8.625" style="397" customWidth="1"/>
    <col min="10" max="10" width="13.375" style="122" customWidth="1"/>
    <col min="11" max="11" width="5.625" style="2" customWidth="1"/>
    <col min="12" max="12" width="9.00390625" style="396" bestFit="1" customWidth="1"/>
    <col min="13" max="13" width="13.375" style="2" bestFit="1" customWidth="1"/>
    <col min="14" max="14" width="6.125" style="2" customWidth="1"/>
    <col min="15" max="15" width="6.75390625" style="2" customWidth="1"/>
    <col min="16" max="16" width="8.25390625" style="398" customWidth="1"/>
    <col min="17" max="17" width="9.125" style="398" customWidth="1"/>
    <col min="18" max="18" width="9.375" style="396" customWidth="1"/>
    <col min="19" max="19" width="10.25390625" style="396" customWidth="1"/>
    <col min="20" max="20" width="9.375" style="398" customWidth="1"/>
    <col min="21" max="21" width="8.25390625" style="396" customWidth="1"/>
    <col min="22" max="22" width="6.125" style="2" customWidth="1"/>
    <col min="23" max="23" width="6.25390625" style="2" customWidth="1"/>
    <col min="24" max="24" width="7.25390625" style="2" customWidth="1"/>
    <col min="25" max="25" width="8.50390625" style="398" customWidth="1"/>
    <col min="26" max="26" width="4.125" style="2" customWidth="1"/>
    <col min="27" max="27" width="8.00390625" style="2" customWidth="1"/>
    <col min="28" max="28" width="11.00390625" style="398" customWidth="1"/>
    <col min="29" max="29" width="6.875" style="2" customWidth="1"/>
    <col min="30" max="30" width="8.125" style="396" customWidth="1"/>
    <col min="31" max="31" width="4.125" style="2" customWidth="1"/>
    <col min="32" max="32" width="8.75390625" style="2" customWidth="1"/>
    <col min="33" max="33" width="11.00390625" style="396" customWidth="1"/>
    <col min="34" max="34" width="7.00390625" style="2" customWidth="1"/>
    <col min="35" max="35" width="7.50390625" style="398" customWidth="1"/>
    <col min="36" max="36" width="4.125" style="1" customWidth="1"/>
    <col min="37" max="37" width="8.75390625" style="1" customWidth="1"/>
    <col min="38" max="38" width="10.375" style="398" customWidth="1"/>
    <col min="39" max="39" width="7.625" style="1" customWidth="1"/>
    <col min="40" max="40" width="7.875" style="396" customWidth="1"/>
    <col min="41" max="41" width="4.50390625" style="2" customWidth="1"/>
    <col min="42" max="42" width="8.25390625" style="2" customWidth="1"/>
    <col min="43" max="43" width="10.375" style="396" customWidth="1"/>
    <col min="44" max="44" width="7.25390625" style="2" customWidth="1"/>
    <col min="45" max="45" width="26.625" style="1" customWidth="1"/>
    <col min="46" max="16384" width="9.00390625" style="1" customWidth="1"/>
  </cols>
  <sheetData>
    <row r="1" spans="1:45" ht="15.75" customHeight="1">
      <c r="A1" s="544" t="s">
        <v>92</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row>
    <row r="2" spans="1:45" ht="15.75" customHeight="1">
      <c r="A2" s="545" t="s">
        <v>423</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row>
    <row r="3" spans="1:45" ht="15.75" customHeight="1">
      <c r="A3" s="545" t="s">
        <v>589</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row>
    <row r="4" spans="1:45" ht="15.75" customHeight="1">
      <c r="A4" s="16"/>
      <c r="B4" s="16"/>
      <c r="C4" s="16"/>
      <c r="D4" s="16"/>
      <c r="E4" s="116"/>
      <c r="F4" s="116"/>
      <c r="G4" s="16"/>
      <c r="H4" s="16"/>
      <c r="I4" s="116"/>
      <c r="J4" s="16"/>
      <c r="K4" s="116"/>
      <c r="L4" s="116"/>
      <c r="M4" s="116"/>
      <c r="N4" s="16"/>
      <c r="O4" s="16"/>
      <c r="P4" s="116"/>
      <c r="Q4" s="116"/>
      <c r="R4" s="116"/>
      <c r="S4" s="116"/>
      <c r="T4" s="116"/>
      <c r="U4" s="116"/>
      <c r="V4" s="16"/>
      <c r="W4" s="16"/>
      <c r="X4" s="16"/>
      <c r="Y4" s="116"/>
      <c r="Z4" s="116"/>
      <c r="AA4" s="116"/>
      <c r="AB4" s="116"/>
      <c r="AC4" s="16"/>
      <c r="AD4" s="116"/>
      <c r="AE4" s="116"/>
      <c r="AF4" s="116"/>
      <c r="AG4" s="116"/>
      <c r="AH4" s="116"/>
      <c r="AI4" s="116"/>
      <c r="AJ4" s="116"/>
      <c r="AK4" s="116"/>
      <c r="AL4" s="116"/>
      <c r="AM4" s="116"/>
      <c r="AN4" s="116"/>
      <c r="AO4" s="116"/>
      <c r="AP4" s="116"/>
      <c r="AQ4" s="116"/>
      <c r="AR4" s="116"/>
      <c r="AS4" s="16"/>
    </row>
    <row r="5" spans="1:45" ht="15.75" customHeight="1">
      <c r="A5" s="16"/>
      <c r="B5" s="16"/>
      <c r="C5" s="16"/>
      <c r="D5" s="16"/>
      <c r="E5" s="116"/>
      <c r="F5" s="116"/>
      <c r="G5" s="16"/>
      <c r="H5" s="16"/>
      <c r="I5" s="116"/>
      <c r="J5" s="16"/>
      <c r="K5" s="116"/>
      <c r="L5" s="116"/>
      <c r="M5" s="116"/>
      <c r="N5" s="16"/>
      <c r="O5" s="16"/>
      <c r="P5" s="116"/>
      <c r="Q5" s="116"/>
      <c r="R5" s="116"/>
      <c r="S5" s="116"/>
      <c r="T5" s="116"/>
      <c r="U5" s="116"/>
      <c r="V5" s="16"/>
      <c r="W5" s="16"/>
      <c r="X5" s="16"/>
      <c r="Y5" s="116"/>
      <c r="Z5" s="116"/>
      <c r="AA5" s="116"/>
      <c r="AB5" s="116"/>
      <c r="AC5" s="16"/>
      <c r="AD5" s="116"/>
      <c r="AE5" s="116"/>
      <c r="AF5" s="116"/>
      <c r="AG5" s="116"/>
      <c r="AH5" s="116"/>
      <c r="AI5" s="116"/>
      <c r="AJ5" s="116"/>
      <c r="AK5" s="116"/>
      <c r="AL5" s="116"/>
      <c r="AM5" s="116"/>
      <c r="AN5" s="116"/>
      <c r="AO5" s="116"/>
      <c r="AP5" s="116"/>
      <c r="AQ5" s="116"/>
      <c r="AR5" s="116"/>
      <c r="AS5" s="16" t="s">
        <v>591</v>
      </c>
    </row>
    <row r="6" spans="1:45" ht="15.75" customHeight="1">
      <c r="A6" s="16"/>
      <c r="B6" s="16"/>
      <c r="C6" s="16"/>
      <c r="D6" s="16"/>
      <c r="E6" s="116"/>
      <c r="F6" s="116"/>
      <c r="G6" s="16"/>
      <c r="H6" s="16"/>
      <c r="I6" s="116"/>
      <c r="J6" s="16"/>
      <c r="K6" s="116"/>
      <c r="L6" s="116"/>
      <c r="M6" s="116"/>
      <c r="N6" s="16"/>
      <c r="O6" s="16"/>
      <c r="P6" s="116"/>
      <c r="Q6" s="116"/>
      <c r="R6" s="116"/>
      <c r="S6" s="116"/>
      <c r="T6" s="116"/>
      <c r="U6" s="116"/>
      <c r="V6" s="16"/>
      <c r="W6" s="16"/>
      <c r="X6" s="16"/>
      <c r="Y6" s="116"/>
      <c r="Z6" s="116"/>
      <c r="AA6" s="116"/>
      <c r="AB6" s="116"/>
      <c r="AC6" s="16"/>
      <c r="AD6" s="116"/>
      <c r="AE6" s="116"/>
      <c r="AF6" s="116"/>
      <c r="AG6" s="116"/>
      <c r="AH6" s="116"/>
      <c r="AI6" s="116"/>
      <c r="AJ6" s="116"/>
      <c r="AK6" s="116"/>
      <c r="AL6" s="116"/>
      <c r="AM6" s="116"/>
      <c r="AN6" s="116"/>
      <c r="AO6" s="116"/>
      <c r="AP6" s="116"/>
      <c r="AQ6" s="116"/>
      <c r="AR6" s="116"/>
      <c r="AS6" s="16" t="s">
        <v>592</v>
      </c>
    </row>
    <row r="7" spans="1:45" ht="15.75" customHeight="1">
      <c r="A7" s="16"/>
      <c r="B7" s="16"/>
      <c r="C7" s="16"/>
      <c r="D7" s="16"/>
      <c r="E7" s="116"/>
      <c r="F7" s="116"/>
      <c r="G7" s="16"/>
      <c r="H7" s="16"/>
      <c r="I7" s="116"/>
      <c r="J7" s="16"/>
      <c r="K7" s="116"/>
      <c r="L7" s="116"/>
      <c r="M7" s="116"/>
      <c r="N7" s="16"/>
      <c r="O7" s="16"/>
      <c r="P7" s="116"/>
      <c r="Q7" s="116"/>
      <c r="R7" s="116"/>
      <c r="S7" s="116"/>
      <c r="T7" s="116"/>
      <c r="U7" s="116"/>
      <c r="V7" s="16"/>
      <c r="W7" s="16"/>
      <c r="X7" s="16"/>
      <c r="Y7" s="116"/>
      <c r="Z7" s="116"/>
      <c r="AA7" s="116"/>
      <c r="AB7" s="116"/>
      <c r="AC7" s="16"/>
      <c r="AD7" s="116"/>
      <c r="AE7" s="116"/>
      <c r="AF7" s="116"/>
      <c r="AG7" s="116"/>
      <c r="AH7" s="116"/>
      <c r="AI7" s="116"/>
      <c r="AJ7" s="116"/>
      <c r="AK7" s="116"/>
      <c r="AL7" s="116"/>
      <c r="AM7" s="116"/>
      <c r="AN7" s="116"/>
      <c r="AO7" s="116"/>
      <c r="AP7" s="116"/>
      <c r="AQ7" s="116"/>
      <c r="AR7" s="116"/>
      <c r="AS7" s="16"/>
    </row>
    <row r="8" spans="1:45" ht="15.75" customHeight="1">
      <c r="A8" s="16"/>
      <c r="B8" s="16"/>
      <c r="C8" s="16"/>
      <c r="D8" s="16"/>
      <c r="E8" s="116"/>
      <c r="F8" s="116"/>
      <c r="G8" s="16"/>
      <c r="H8" s="16"/>
      <c r="I8" s="116"/>
      <c r="J8" s="16"/>
      <c r="K8" s="116"/>
      <c r="L8" s="116"/>
      <c r="M8" s="116"/>
      <c r="N8" s="16"/>
      <c r="O8" s="16"/>
      <c r="P8" s="116"/>
      <c r="Q8" s="116"/>
      <c r="R8" s="116"/>
      <c r="S8" s="116"/>
      <c r="T8" s="116"/>
      <c r="U8" s="116"/>
      <c r="V8" s="16"/>
      <c r="W8" s="16"/>
      <c r="X8" s="16"/>
      <c r="Y8" s="116"/>
      <c r="Z8" s="116"/>
      <c r="AA8" s="116"/>
      <c r="AB8" s="116"/>
      <c r="AC8" s="16"/>
      <c r="AD8" s="116"/>
      <c r="AE8" s="116"/>
      <c r="AF8" s="116"/>
      <c r="AG8" s="116"/>
      <c r="AH8" s="116"/>
      <c r="AI8" s="116"/>
      <c r="AJ8" s="116"/>
      <c r="AK8" s="116"/>
      <c r="AL8" s="116"/>
      <c r="AM8" s="116"/>
      <c r="AN8" s="116"/>
      <c r="AO8" s="116"/>
      <c r="AP8" s="116"/>
      <c r="AQ8" s="379"/>
      <c r="AR8" s="379"/>
      <c r="AS8" s="16" t="s">
        <v>590</v>
      </c>
    </row>
    <row r="9" spans="1:45" ht="18.75">
      <c r="A9" s="558" t="s">
        <v>193</v>
      </c>
      <c r="B9" s="558"/>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2"/>
      <c r="AJ9" s="2"/>
      <c r="AK9" s="2"/>
      <c r="AL9" s="2"/>
      <c r="AM9" s="2"/>
      <c r="AN9" s="2"/>
      <c r="AQ9" s="2"/>
      <c r="AS9" s="16"/>
    </row>
    <row r="10" spans="1:45" ht="18.75">
      <c r="A10" s="560"/>
      <c r="B10" s="560"/>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73"/>
      <c r="AJ10" s="73"/>
      <c r="AK10" s="73"/>
      <c r="AL10" s="73"/>
      <c r="AM10" s="73"/>
      <c r="AN10" s="73"/>
      <c r="AO10" s="73"/>
      <c r="AP10" s="73"/>
      <c r="AQ10" s="465" t="s">
        <v>593</v>
      </c>
      <c r="AR10" s="73"/>
      <c r="AS10" s="16" t="s">
        <v>722</v>
      </c>
    </row>
    <row r="11" spans="1:45" ht="18.75">
      <c r="A11" s="532" t="str">
        <f>1!A14:U14</f>
        <v>Инвестиционная программа Филиала "Железноводские электрические сети" ООО "КЭУК".</v>
      </c>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399"/>
      <c r="AJ11" s="399"/>
      <c r="AK11" s="399"/>
      <c r="AL11" s="399"/>
      <c r="AM11" s="399"/>
      <c r="AN11" s="399"/>
      <c r="AO11" s="399"/>
      <c r="AP11" s="399"/>
      <c r="AQ11" s="399"/>
      <c r="AR11" s="399"/>
      <c r="AS11" s="75"/>
    </row>
    <row r="12" spans="1:45" ht="18.75" customHeight="1">
      <c r="A12" s="542" t="s">
        <v>109</v>
      </c>
      <c r="B12" s="542"/>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400"/>
      <c r="AJ12" s="400"/>
      <c r="AK12" s="400"/>
      <c r="AL12" s="400"/>
      <c r="AM12" s="400"/>
      <c r="AN12" s="400"/>
      <c r="AO12" s="400"/>
      <c r="AP12" s="400"/>
      <c r="AQ12" s="400"/>
      <c r="AR12" s="400"/>
      <c r="AS12" s="76"/>
    </row>
    <row r="13" spans="1:45" ht="18.75">
      <c r="A13" s="561"/>
      <c r="B13" s="561"/>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2"/>
      <c r="AJ13" s="2"/>
      <c r="AK13" s="2"/>
      <c r="AL13" s="2"/>
      <c r="AM13" s="2"/>
      <c r="AN13" s="2"/>
      <c r="AQ13" s="2"/>
      <c r="AS13" s="16"/>
    </row>
    <row r="14" spans="1:45" ht="18.75">
      <c r="A14" s="559" t="str">
        <f>1!A17:U17</f>
        <v>Год раскрытия информации: 2018 год</v>
      </c>
      <c r="B14" s="559"/>
      <c r="C14" s="559"/>
      <c r="D14" s="559"/>
      <c r="E14" s="559"/>
      <c r="F14" s="559"/>
      <c r="G14" s="559"/>
      <c r="H14" s="559"/>
      <c r="I14" s="559"/>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87"/>
      <c r="AJ14" s="87"/>
      <c r="AK14" s="87"/>
      <c r="AL14" s="87"/>
      <c r="AM14" s="87"/>
      <c r="AN14" s="87"/>
      <c r="AO14" s="87"/>
      <c r="AP14" s="87"/>
      <c r="AQ14" s="87"/>
      <c r="AR14" s="87"/>
      <c r="AS14" s="87"/>
    </row>
    <row r="15" spans="1:44" ht="16.5" thickBot="1">
      <c r="A15" s="2"/>
      <c r="I15" s="457"/>
      <c r="L15" s="455"/>
      <c r="P15" s="2"/>
      <c r="Q15" s="2"/>
      <c r="R15" s="2"/>
      <c r="S15" s="2"/>
      <c r="T15" s="2"/>
      <c r="U15" s="2"/>
      <c r="Y15" s="2"/>
      <c r="AB15" s="2"/>
      <c r="AD15" s="2"/>
      <c r="AG15" s="2"/>
      <c r="AI15" s="2"/>
      <c r="AJ15" s="2"/>
      <c r="AK15" s="2"/>
      <c r="AL15" s="2"/>
      <c r="AM15" s="2"/>
      <c r="AN15" s="2"/>
      <c r="AQ15" s="2"/>
      <c r="AR15" s="6"/>
    </row>
    <row r="16" spans="1:45" ht="99.75" customHeight="1">
      <c r="A16" s="563" t="s">
        <v>604</v>
      </c>
      <c r="B16" s="557" t="s">
        <v>452</v>
      </c>
      <c r="C16" s="557" t="s">
        <v>256</v>
      </c>
      <c r="D16" s="577" t="s">
        <v>22</v>
      </c>
      <c r="E16" s="577" t="s">
        <v>29</v>
      </c>
      <c r="F16" s="557" t="s">
        <v>31</v>
      </c>
      <c r="G16" s="557"/>
      <c r="H16" s="557" t="s">
        <v>439</v>
      </c>
      <c r="I16" s="557"/>
      <c r="J16" s="557"/>
      <c r="K16" s="557"/>
      <c r="L16" s="557"/>
      <c r="M16" s="557"/>
      <c r="N16" s="580" t="s">
        <v>132</v>
      </c>
      <c r="O16" s="580" t="s">
        <v>624</v>
      </c>
      <c r="P16" s="557" t="s">
        <v>271</v>
      </c>
      <c r="Q16" s="557"/>
      <c r="R16" s="557"/>
      <c r="S16" s="557"/>
      <c r="T16" s="557" t="s">
        <v>461</v>
      </c>
      <c r="U16" s="557"/>
      <c r="V16" s="571" t="s">
        <v>460</v>
      </c>
      <c r="W16" s="572"/>
      <c r="X16" s="573"/>
      <c r="Y16" s="557" t="s">
        <v>599</v>
      </c>
      <c r="Z16" s="557"/>
      <c r="AA16" s="557"/>
      <c r="AB16" s="557"/>
      <c r="AC16" s="557"/>
      <c r="AD16" s="557"/>
      <c r="AE16" s="557"/>
      <c r="AF16" s="557"/>
      <c r="AG16" s="557"/>
      <c r="AH16" s="557"/>
      <c r="AI16" s="557"/>
      <c r="AJ16" s="557"/>
      <c r="AK16" s="557"/>
      <c r="AL16" s="557"/>
      <c r="AM16" s="557"/>
      <c r="AN16" s="557"/>
      <c r="AO16" s="557"/>
      <c r="AP16" s="557"/>
      <c r="AQ16" s="557"/>
      <c r="AR16" s="557"/>
      <c r="AS16" s="566" t="s">
        <v>444</v>
      </c>
    </row>
    <row r="17" spans="1:45" ht="85.5" customHeight="1">
      <c r="A17" s="564"/>
      <c r="B17" s="556"/>
      <c r="C17" s="556"/>
      <c r="D17" s="578"/>
      <c r="E17" s="578"/>
      <c r="F17" s="556"/>
      <c r="G17" s="556"/>
      <c r="H17" s="591" t="s">
        <v>440</v>
      </c>
      <c r="I17" s="592"/>
      <c r="J17" s="593"/>
      <c r="K17" s="586" t="s">
        <v>623</v>
      </c>
      <c r="L17" s="587"/>
      <c r="M17" s="588"/>
      <c r="N17" s="581"/>
      <c r="O17" s="581"/>
      <c r="P17" s="556" t="s">
        <v>440</v>
      </c>
      <c r="Q17" s="556"/>
      <c r="R17" s="556" t="str">
        <f>K17</f>
        <v>Факт</v>
      </c>
      <c r="S17" s="556"/>
      <c r="T17" s="556"/>
      <c r="U17" s="556"/>
      <c r="V17" s="574"/>
      <c r="W17" s="575"/>
      <c r="X17" s="576"/>
      <c r="Y17" s="556" t="s">
        <v>440</v>
      </c>
      <c r="Z17" s="556"/>
      <c r="AA17" s="556"/>
      <c r="AB17" s="556"/>
      <c r="AC17" s="556"/>
      <c r="AD17" s="556" t="s">
        <v>623</v>
      </c>
      <c r="AE17" s="556"/>
      <c r="AF17" s="556"/>
      <c r="AG17" s="556"/>
      <c r="AH17" s="556"/>
      <c r="AI17" s="568" t="s">
        <v>459</v>
      </c>
      <c r="AJ17" s="569"/>
      <c r="AK17" s="569"/>
      <c r="AL17" s="569"/>
      <c r="AM17" s="570"/>
      <c r="AN17" s="568" t="s">
        <v>626</v>
      </c>
      <c r="AO17" s="569"/>
      <c r="AP17" s="569"/>
      <c r="AQ17" s="569"/>
      <c r="AR17" s="570"/>
      <c r="AS17" s="567"/>
    </row>
    <row r="18" spans="1:45" ht="203.25" customHeight="1" thickBot="1">
      <c r="A18" s="565"/>
      <c r="B18" s="562"/>
      <c r="C18" s="562"/>
      <c r="D18" s="579"/>
      <c r="E18" s="579"/>
      <c r="F18" s="74" t="s">
        <v>209</v>
      </c>
      <c r="G18" s="216" t="s">
        <v>20</v>
      </c>
      <c r="H18" s="217" t="s">
        <v>230</v>
      </c>
      <c r="I18" s="463" t="s">
        <v>434</v>
      </c>
      <c r="J18" s="217" t="s">
        <v>433</v>
      </c>
      <c r="K18" s="176" t="s">
        <v>230</v>
      </c>
      <c r="L18" s="460" t="s">
        <v>434</v>
      </c>
      <c r="M18" s="176" t="s">
        <v>433</v>
      </c>
      <c r="N18" s="581"/>
      <c r="O18" s="589"/>
      <c r="P18" s="176" t="s">
        <v>272</v>
      </c>
      <c r="Q18" s="176" t="s">
        <v>405</v>
      </c>
      <c r="R18" s="176" t="s">
        <v>272</v>
      </c>
      <c r="S18" s="176" t="s">
        <v>405</v>
      </c>
      <c r="T18" s="74" t="s">
        <v>440</v>
      </c>
      <c r="U18" s="74" t="s">
        <v>623</v>
      </c>
      <c r="V18" s="176" t="s">
        <v>270</v>
      </c>
      <c r="W18" s="176" t="s">
        <v>625</v>
      </c>
      <c r="X18" s="176" t="s">
        <v>598</v>
      </c>
      <c r="Y18" s="176" t="s">
        <v>449</v>
      </c>
      <c r="Z18" s="176" t="s">
        <v>446</v>
      </c>
      <c r="AA18" s="176" t="s">
        <v>257</v>
      </c>
      <c r="AB18" s="74" t="s">
        <v>254</v>
      </c>
      <c r="AC18" s="74" t="s">
        <v>448</v>
      </c>
      <c r="AD18" s="176" t="s">
        <v>449</v>
      </c>
      <c r="AE18" s="176" t="s">
        <v>446</v>
      </c>
      <c r="AF18" s="176" t="s">
        <v>257</v>
      </c>
      <c r="AG18" s="74" t="s">
        <v>254</v>
      </c>
      <c r="AH18" s="74" t="s">
        <v>448</v>
      </c>
      <c r="AI18" s="176" t="s">
        <v>449</v>
      </c>
      <c r="AJ18" s="176" t="s">
        <v>446</v>
      </c>
      <c r="AK18" s="176" t="s">
        <v>257</v>
      </c>
      <c r="AL18" s="74" t="s">
        <v>254</v>
      </c>
      <c r="AM18" s="74" t="s">
        <v>448</v>
      </c>
      <c r="AN18" s="176" t="s">
        <v>449</v>
      </c>
      <c r="AO18" s="176" t="s">
        <v>446</v>
      </c>
      <c r="AP18" s="176" t="s">
        <v>257</v>
      </c>
      <c r="AQ18" s="74" t="s">
        <v>254</v>
      </c>
      <c r="AR18" s="176" t="s">
        <v>448</v>
      </c>
      <c r="AS18" s="567"/>
    </row>
    <row r="19" spans="1:45" ht="20.25" customHeight="1" thickBot="1">
      <c r="A19" s="220">
        <v>1</v>
      </c>
      <c r="B19" s="221">
        <v>2</v>
      </c>
      <c r="C19" s="221">
        <v>3</v>
      </c>
      <c r="D19" s="221">
        <v>4</v>
      </c>
      <c r="E19" s="221">
        <v>5</v>
      </c>
      <c r="F19" s="221">
        <v>6</v>
      </c>
      <c r="G19" s="221">
        <v>7</v>
      </c>
      <c r="H19" s="222">
        <v>8</v>
      </c>
      <c r="I19" s="464">
        <v>9</v>
      </c>
      <c r="J19" s="222">
        <v>10</v>
      </c>
      <c r="K19" s="221">
        <v>11</v>
      </c>
      <c r="L19" s="461">
        <v>12</v>
      </c>
      <c r="M19" s="221">
        <v>13</v>
      </c>
      <c r="N19" s="221">
        <v>14</v>
      </c>
      <c r="O19" s="221">
        <v>15</v>
      </c>
      <c r="P19" s="470" t="s">
        <v>393</v>
      </c>
      <c r="Q19" s="470" t="s">
        <v>394</v>
      </c>
      <c r="R19" s="470" t="s">
        <v>395</v>
      </c>
      <c r="S19" s="470" t="s">
        <v>396</v>
      </c>
      <c r="T19" s="221">
        <v>17</v>
      </c>
      <c r="U19" s="221">
        <v>18</v>
      </c>
      <c r="V19" s="221">
        <v>19</v>
      </c>
      <c r="W19" s="221">
        <v>20</v>
      </c>
      <c r="X19" s="221">
        <v>21</v>
      </c>
      <c r="Y19" s="221">
        <v>22</v>
      </c>
      <c r="Z19" s="221">
        <v>23</v>
      </c>
      <c r="AA19" s="221">
        <v>24</v>
      </c>
      <c r="AB19" s="221">
        <v>25</v>
      </c>
      <c r="AC19" s="221">
        <v>26</v>
      </c>
      <c r="AD19" s="221">
        <v>27</v>
      </c>
      <c r="AE19" s="221">
        <v>28</v>
      </c>
      <c r="AF19" s="221">
        <v>29</v>
      </c>
      <c r="AG19" s="221">
        <v>30</v>
      </c>
      <c r="AH19" s="221">
        <v>31</v>
      </c>
      <c r="AI19" s="221">
        <v>33</v>
      </c>
      <c r="AJ19" s="221">
        <v>34</v>
      </c>
      <c r="AK19" s="221">
        <v>35</v>
      </c>
      <c r="AL19" s="221">
        <v>36</v>
      </c>
      <c r="AM19" s="221">
        <v>37</v>
      </c>
      <c r="AN19" s="221">
        <v>38</v>
      </c>
      <c r="AO19" s="221">
        <v>39</v>
      </c>
      <c r="AP19" s="221">
        <v>40</v>
      </c>
      <c r="AQ19" s="221">
        <v>41</v>
      </c>
      <c r="AR19" s="221">
        <v>42</v>
      </c>
      <c r="AS19" s="223">
        <v>43</v>
      </c>
    </row>
    <row r="20" spans="1:45" s="5" customFormat="1" ht="15.75">
      <c r="A20" s="323"/>
      <c r="B20" s="194" t="s">
        <v>475</v>
      </c>
      <c r="C20" s="324" t="s">
        <v>261</v>
      </c>
      <c r="D20" s="218"/>
      <c r="E20" s="218"/>
      <c r="F20" s="218"/>
      <c r="G20" s="218"/>
      <c r="H20" s="218"/>
      <c r="I20" s="462">
        <f>SUM(I21:I26)</f>
        <v>37.523410673</v>
      </c>
      <c r="J20" s="218"/>
      <c r="K20" s="218"/>
      <c r="L20" s="462">
        <f>SUM(L21:L26)</f>
        <v>37.0037639584</v>
      </c>
      <c r="M20" s="218"/>
      <c r="N20" s="218"/>
      <c r="O20" s="218"/>
      <c r="P20" s="218">
        <f aca="true" t="shared" si="0" ref="P20:U20">SUM(P21:P26)</f>
        <v>37.523410673</v>
      </c>
      <c r="Q20" s="218">
        <f t="shared" si="0"/>
        <v>37.523410673</v>
      </c>
      <c r="R20" s="218">
        <f t="shared" si="0"/>
        <v>37.0037639584</v>
      </c>
      <c r="S20" s="218">
        <f t="shared" si="0"/>
        <v>37.0037639584</v>
      </c>
      <c r="T20" s="218">
        <f t="shared" si="0"/>
        <v>37.523410673</v>
      </c>
      <c r="U20" s="218">
        <f t="shared" si="0"/>
        <v>37.0037639584</v>
      </c>
      <c r="V20" s="218"/>
      <c r="W20" s="218"/>
      <c r="X20" s="218"/>
      <c r="Y20" s="218">
        <f>SUM(Y21:Y26)</f>
        <v>37.523410673</v>
      </c>
      <c r="Z20" s="218"/>
      <c r="AA20" s="218"/>
      <c r="AB20" s="218">
        <f>SUM(AB21:AB26)</f>
        <v>24.968342897799996</v>
      </c>
      <c r="AC20" s="218">
        <f>SUM(AC21:AC26)</f>
        <v>12.555067775200001</v>
      </c>
      <c r="AD20" s="218">
        <f>SUM(AD21:AD26)</f>
        <v>37.0037639584</v>
      </c>
      <c r="AE20" s="218"/>
      <c r="AF20" s="218"/>
      <c r="AG20" s="218">
        <f>SUM(AG21:AG26)</f>
        <v>24.4486961832</v>
      </c>
      <c r="AH20" s="218">
        <f>SUM(AH21:AH26)</f>
        <v>12.555067775200001</v>
      </c>
      <c r="AI20" s="218">
        <f>SUM(AI21:AI26)</f>
        <v>37.523410673</v>
      </c>
      <c r="AJ20" s="218"/>
      <c r="AK20" s="218"/>
      <c r="AL20" s="218">
        <f>SUM(AL21:AL26)</f>
        <v>24.968342897799996</v>
      </c>
      <c r="AM20" s="218">
        <f>SUM(AM21:AM26)</f>
        <v>12.555067775200001</v>
      </c>
      <c r="AN20" s="218">
        <f>SUM(AN21:AN26)</f>
        <v>37.0037639584</v>
      </c>
      <c r="AO20" s="218"/>
      <c r="AP20" s="218"/>
      <c r="AQ20" s="218">
        <f>SUM(AQ21:AQ26)</f>
        <v>24.4486961832</v>
      </c>
      <c r="AR20" s="218">
        <f>SUM(AR21:AR26)</f>
        <v>12.555067775200001</v>
      </c>
      <c r="AS20" s="219"/>
    </row>
    <row r="21" spans="1:45" s="5" customFormat="1" ht="15.75">
      <c r="A21" s="207" t="s">
        <v>476</v>
      </c>
      <c r="B21" s="159" t="s">
        <v>477</v>
      </c>
      <c r="C21" s="173" t="s">
        <v>261</v>
      </c>
      <c r="D21" s="141"/>
      <c r="E21" s="141"/>
      <c r="F21" s="141"/>
      <c r="G21" s="141"/>
      <c r="H21" s="141"/>
      <c r="I21" s="459">
        <f>I49</f>
        <v>12.555067775200001</v>
      </c>
      <c r="J21" s="141"/>
      <c r="K21" s="141"/>
      <c r="L21" s="459">
        <f>L49</f>
        <v>12.555067775200001</v>
      </c>
      <c r="M21" s="141"/>
      <c r="N21" s="141"/>
      <c r="O21" s="141"/>
      <c r="P21" s="141">
        <f aca="true" t="shared" si="1" ref="P21:U21">P49</f>
        <v>12.555067775200001</v>
      </c>
      <c r="Q21" s="141">
        <f t="shared" si="1"/>
        <v>12.555067775200001</v>
      </c>
      <c r="R21" s="141">
        <f t="shared" si="1"/>
        <v>12.555067775200001</v>
      </c>
      <c r="S21" s="141">
        <f t="shared" si="1"/>
        <v>12.555067775200001</v>
      </c>
      <c r="T21" s="141">
        <f t="shared" si="1"/>
        <v>12.555067775200001</v>
      </c>
      <c r="U21" s="141">
        <f t="shared" si="1"/>
        <v>12.555067775200001</v>
      </c>
      <c r="V21" s="141"/>
      <c r="W21" s="141"/>
      <c r="X21" s="141"/>
      <c r="Y21" s="141">
        <f>Y49</f>
        <v>12.555067775200001</v>
      </c>
      <c r="Z21" s="141"/>
      <c r="AA21" s="141"/>
      <c r="AB21" s="141">
        <f>AB49</f>
        <v>0</v>
      </c>
      <c r="AC21" s="141">
        <f>AC49</f>
        <v>12.555067775200001</v>
      </c>
      <c r="AD21" s="141">
        <f>AD49</f>
        <v>12.555067775200001</v>
      </c>
      <c r="AE21" s="141"/>
      <c r="AF21" s="141"/>
      <c r="AG21" s="141">
        <f>AG49</f>
        <v>0</v>
      </c>
      <c r="AH21" s="141">
        <f>AH49</f>
        <v>12.555067775200001</v>
      </c>
      <c r="AI21" s="141">
        <f>AI49</f>
        <v>12.555067775200001</v>
      </c>
      <c r="AJ21" s="141"/>
      <c r="AK21" s="141"/>
      <c r="AL21" s="141">
        <f>AL49</f>
        <v>0</v>
      </c>
      <c r="AM21" s="141">
        <f>AM49</f>
        <v>12.555067775200001</v>
      </c>
      <c r="AN21" s="141">
        <f>AN49</f>
        <v>12.555067775200001</v>
      </c>
      <c r="AO21" s="141"/>
      <c r="AP21" s="141"/>
      <c r="AQ21" s="141">
        <f>AQ49</f>
        <v>0</v>
      </c>
      <c r="AR21" s="141">
        <f>AR49</f>
        <v>12.555067775200001</v>
      </c>
      <c r="AS21" s="204"/>
    </row>
    <row r="22" spans="1:45" s="5" customFormat="1" ht="15.75">
      <c r="A22" s="207" t="s">
        <v>478</v>
      </c>
      <c r="B22" s="159" t="s">
        <v>479</v>
      </c>
      <c r="C22" s="173" t="s">
        <v>261</v>
      </c>
      <c r="D22" s="141"/>
      <c r="E22" s="141"/>
      <c r="F22" s="141"/>
      <c r="G22" s="141"/>
      <c r="H22" s="141"/>
      <c r="I22" s="459">
        <f>I27</f>
        <v>14.576839057799997</v>
      </c>
      <c r="J22" s="141"/>
      <c r="K22" s="141"/>
      <c r="L22" s="459">
        <f>L27</f>
        <v>13.964126690599999</v>
      </c>
      <c r="M22" s="141"/>
      <c r="N22" s="141"/>
      <c r="O22" s="141"/>
      <c r="P22" s="141">
        <f aca="true" t="shared" si="2" ref="P22:U22">P27</f>
        <v>14.576839057799997</v>
      </c>
      <c r="Q22" s="141">
        <f t="shared" si="2"/>
        <v>14.576839057799997</v>
      </c>
      <c r="R22" s="141">
        <f t="shared" si="2"/>
        <v>13.964126690599999</v>
      </c>
      <c r="S22" s="141">
        <f t="shared" si="2"/>
        <v>13.964126690599999</v>
      </c>
      <c r="T22" s="141">
        <f t="shared" si="2"/>
        <v>14.576839057799997</v>
      </c>
      <c r="U22" s="141">
        <f t="shared" si="2"/>
        <v>13.964126690599999</v>
      </c>
      <c r="V22" s="141"/>
      <c r="W22" s="141"/>
      <c r="X22" s="141"/>
      <c r="Y22" s="141">
        <f>Y27</f>
        <v>14.576839057799997</v>
      </c>
      <c r="Z22" s="141"/>
      <c r="AA22" s="141"/>
      <c r="AB22" s="141">
        <f>AB27</f>
        <v>14.576839057799997</v>
      </c>
      <c r="AC22" s="141">
        <f>AC27</f>
        <v>0</v>
      </c>
      <c r="AD22" s="141">
        <f>AD27</f>
        <v>13.964126690599999</v>
      </c>
      <c r="AE22" s="141"/>
      <c r="AF22" s="141"/>
      <c r="AG22" s="141">
        <f>AG27</f>
        <v>13.964126690599999</v>
      </c>
      <c r="AH22" s="141">
        <f>AH27</f>
        <v>0</v>
      </c>
      <c r="AI22" s="141">
        <f>AI27</f>
        <v>14.576839057799997</v>
      </c>
      <c r="AJ22" s="141"/>
      <c r="AK22" s="141"/>
      <c r="AL22" s="141">
        <f>AL27</f>
        <v>14.576839057799997</v>
      </c>
      <c r="AM22" s="141">
        <f>AM27</f>
        <v>0</v>
      </c>
      <c r="AN22" s="141">
        <f>AN27</f>
        <v>13.964126690599999</v>
      </c>
      <c r="AO22" s="141"/>
      <c r="AP22" s="141"/>
      <c r="AQ22" s="141">
        <f>AQ27</f>
        <v>13.964126690599999</v>
      </c>
      <c r="AR22" s="141">
        <f>AR27</f>
        <v>0</v>
      </c>
      <c r="AS22" s="204"/>
    </row>
    <row r="23" spans="1:45" s="5" customFormat="1" ht="31.5">
      <c r="A23" s="207" t="s">
        <v>480</v>
      </c>
      <c r="B23" s="159" t="s">
        <v>481</v>
      </c>
      <c r="C23" s="173" t="s">
        <v>261</v>
      </c>
      <c r="D23" s="141"/>
      <c r="E23" s="141"/>
      <c r="F23" s="141"/>
      <c r="G23" s="141"/>
      <c r="H23" s="141"/>
      <c r="I23" s="459">
        <v>0</v>
      </c>
      <c r="J23" s="141"/>
      <c r="K23" s="141"/>
      <c r="L23" s="459">
        <v>0</v>
      </c>
      <c r="M23" s="141"/>
      <c r="N23" s="141"/>
      <c r="O23" s="141"/>
      <c r="P23" s="141">
        <v>0</v>
      </c>
      <c r="Q23" s="141">
        <v>0</v>
      </c>
      <c r="R23" s="141">
        <v>0</v>
      </c>
      <c r="S23" s="141">
        <v>0</v>
      </c>
      <c r="T23" s="141">
        <v>0</v>
      </c>
      <c r="U23" s="141">
        <v>0</v>
      </c>
      <c r="V23" s="141"/>
      <c r="W23" s="141"/>
      <c r="X23" s="141"/>
      <c r="Y23" s="141">
        <v>0</v>
      </c>
      <c r="Z23" s="141"/>
      <c r="AA23" s="141"/>
      <c r="AB23" s="141">
        <v>0</v>
      </c>
      <c r="AC23" s="141">
        <v>0</v>
      </c>
      <c r="AD23" s="141">
        <v>0</v>
      </c>
      <c r="AE23" s="141"/>
      <c r="AF23" s="141"/>
      <c r="AG23" s="141">
        <v>0</v>
      </c>
      <c r="AH23" s="141">
        <v>0</v>
      </c>
      <c r="AI23" s="141">
        <v>0</v>
      </c>
      <c r="AJ23" s="141"/>
      <c r="AK23" s="141"/>
      <c r="AL23" s="141">
        <v>0</v>
      </c>
      <c r="AM23" s="141">
        <v>0</v>
      </c>
      <c r="AN23" s="141">
        <v>0</v>
      </c>
      <c r="AO23" s="141"/>
      <c r="AP23" s="141"/>
      <c r="AQ23" s="141">
        <v>0</v>
      </c>
      <c r="AR23" s="141">
        <v>0</v>
      </c>
      <c r="AS23" s="204"/>
    </row>
    <row r="24" spans="1:45" s="5" customFormat="1" ht="15.75">
      <c r="A24" s="207" t="s">
        <v>482</v>
      </c>
      <c r="B24" s="159" t="s">
        <v>483</v>
      </c>
      <c r="C24" s="173" t="s">
        <v>261</v>
      </c>
      <c r="D24" s="141"/>
      <c r="E24" s="141"/>
      <c r="F24" s="141"/>
      <c r="G24" s="141"/>
      <c r="H24" s="141"/>
      <c r="I24" s="459">
        <f>I47</f>
        <v>7.42196984</v>
      </c>
      <c r="J24" s="141"/>
      <c r="K24" s="141"/>
      <c r="L24" s="459">
        <f>L47</f>
        <v>7.622885845</v>
      </c>
      <c r="M24" s="141"/>
      <c r="N24" s="141"/>
      <c r="O24" s="141"/>
      <c r="P24" s="141">
        <f aca="true" t="shared" si="3" ref="P24:U24">P47</f>
        <v>7.42196984</v>
      </c>
      <c r="Q24" s="141">
        <f t="shared" si="3"/>
        <v>7.42196984</v>
      </c>
      <c r="R24" s="141">
        <f t="shared" si="3"/>
        <v>7.622885845</v>
      </c>
      <c r="S24" s="141">
        <f t="shared" si="3"/>
        <v>7.622885845</v>
      </c>
      <c r="T24" s="141">
        <f t="shared" si="3"/>
        <v>7.42196984</v>
      </c>
      <c r="U24" s="141">
        <f t="shared" si="3"/>
        <v>7.622885845</v>
      </c>
      <c r="V24" s="141"/>
      <c r="W24" s="141"/>
      <c r="X24" s="141"/>
      <c r="Y24" s="141">
        <f>Y47</f>
        <v>7.42196984</v>
      </c>
      <c r="Z24" s="141"/>
      <c r="AA24" s="141"/>
      <c r="AB24" s="141">
        <f>AB47</f>
        <v>7.42196984</v>
      </c>
      <c r="AC24" s="141">
        <f>AC47</f>
        <v>0</v>
      </c>
      <c r="AD24" s="141">
        <f>AD47</f>
        <v>7.622885845</v>
      </c>
      <c r="AE24" s="141"/>
      <c r="AF24" s="141"/>
      <c r="AG24" s="141">
        <f>AG47</f>
        <v>7.622885845</v>
      </c>
      <c r="AH24" s="141">
        <f>AH47</f>
        <v>0</v>
      </c>
      <c r="AI24" s="141">
        <f>AI47</f>
        <v>7.42196984</v>
      </c>
      <c r="AJ24" s="141"/>
      <c r="AK24" s="141"/>
      <c r="AL24" s="141">
        <f>AL47</f>
        <v>7.42196984</v>
      </c>
      <c r="AM24" s="141">
        <f>AM47</f>
        <v>0</v>
      </c>
      <c r="AN24" s="141">
        <f>AN47</f>
        <v>7.622885845</v>
      </c>
      <c r="AO24" s="141"/>
      <c r="AP24" s="141"/>
      <c r="AQ24" s="141">
        <f>AQ47</f>
        <v>7.622885845</v>
      </c>
      <c r="AR24" s="141">
        <f>AR47</f>
        <v>0</v>
      </c>
      <c r="AS24" s="204"/>
    </row>
    <row r="25" spans="1:45" s="5" customFormat="1" ht="15.75">
      <c r="A25" s="207" t="s">
        <v>484</v>
      </c>
      <c r="B25" s="160" t="s">
        <v>485</v>
      </c>
      <c r="C25" s="173" t="s">
        <v>261</v>
      </c>
      <c r="D25" s="141"/>
      <c r="E25" s="141"/>
      <c r="F25" s="141"/>
      <c r="G25" s="141"/>
      <c r="H25" s="141"/>
      <c r="I25" s="459">
        <v>0</v>
      </c>
      <c r="J25" s="141"/>
      <c r="K25" s="141"/>
      <c r="L25" s="459">
        <v>0</v>
      </c>
      <c r="M25" s="141"/>
      <c r="N25" s="141"/>
      <c r="O25" s="141"/>
      <c r="P25" s="141">
        <v>0</v>
      </c>
      <c r="Q25" s="141">
        <v>0</v>
      </c>
      <c r="R25" s="141">
        <v>0</v>
      </c>
      <c r="S25" s="141">
        <v>0</v>
      </c>
      <c r="T25" s="141">
        <v>0</v>
      </c>
      <c r="U25" s="141">
        <v>0</v>
      </c>
      <c r="V25" s="141"/>
      <c r="W25" s="141"/>
      <c r="X25" s="141"/>
      <c r="Y25" s="141">
        <v>0</v>
      </c>
      <c r="Z25" s="141"/>
      <c r="AA25" s="141"/>
      <c r="AB25" s="141">
        <v>0</v>
      </c>
      <c r="AC25" s="141">
        <v>0</v>
      </c>
      <c r="AD25" s="141">
        <v>0</v>
      </c>
      <c r="AE25" s="141"/>
      <c r="AF25" s="141"/>
      <c r="AG25" s="141">
        <v>0</v>
      </c>
      <c r="AH25" s="141">
        <v>0</v>
      </c>
      <c r="AI25" s="141">
        <v>0</v>
      </c>
      <c r="AJ25" s="141"/>
      <c r="AK25" s="141"/>
      <c r="AL25" s="141">
        <v>0</v>
      </c>
      <c r="AM25" s="141">
        <v>0</v>
      </c>
      <c r="AN25" s="141">
        <v>0</v>
      </c>
      <c r="AO25" s="141"/>
      <c r="AP25" s="141"/>
      <c r="AQ25" s="141">
        <v>0</v>
      </c>
      <c r="AR25" s="141">
        <v>0</v>
      </c>
      <c r="AS25" s="204"/>
    </row>
    <row r="26" spans="1:45" s="5" customFormat="1" ht="15.75">
      <c r="A26" s="207" t="s">
        <v>486</v>
      </c>
      <c r="B26" s="160" t="s">
        <v>487</v>
      </c>
      <c r="C26" s="173" t="s">
        <v>261</v>
      </c>
      <c r="D26" s="141"/>
      <c r="E26" s="141"/>
      <c r="F26" s="141"/>
      <c r="G26" s="141"/>
      <c r="H26" s="141"/>
      <c r="I26" s="459">
        <f>I42</f>
        <v>2.969534</v>
      </c>
      <c r="J26" s="141"/>
      <c r="K26" s="141"/>
      <c r="L26" s="459">
        <f>L42</f>
        <v>2.8616836475999996</v>
      </c>
      <c r="M26" s="141"/>
      <c r="N26" s="141"/>
      <c r="O26" s="141"/>
      <c r="P26" s="141">
        <f aca="true" t="shared" si="4" ref="P26:U26">P42</f>
        <v>2.969534</v>
      </c>
      <c r="Q26" s="141">
        <f t="shared" si="4"/>
        <v>2.969534</v>
      </c>
      <c r="R26" s="141">
        <f t="shared" si="4"/>
        <v>2.8616836475999996</v>
      </c>
      <c r="S26" s="141">
        <f t="shared" si="4"/>
        <v>2.8616836475999996</v>
      </c>
      <c r="T26" s="141">
        <f t="shared" si="4"/>
        <v>2.969534</v>
      </c>
      <c r="U26" s="141">
        <f t="shared" si="4"/>
        <v>2.8616836475999996</v>
      </c>
      <c r="V26" s="141"/>
      <c r="W26" s="141"/>
      <c r="X26" s="141"/>
      <c r="Y26" s="141">
        <f>Y42</f>
        <v>2.969534</v>
      </c>
      <c r="Z26" s="141"/>
      <c r="AA26" s="141"/>
      <c r="AB26" s="141">
        <f>AB42</f>
        <v>2.969534</v>
      </c>
      <c r="AC26" s="141">
        <f>AC42</f>
        <v>0</v>
      </c>
      <c r="AD26" s="141">
        <f>AD42</f>
        <v>2.8616836475999996</v>
      </c>
      <c r="AE26" s="141"/>
      <c r="AF26" s="141"/>
      <c r="AG26" s="141">
        <f>AG42</f>
        <v>2.8616836475999996</v>
      </c>
      <c r="AH26" s="141">
        <f>AH42</f>
        <v>0</v>
      </c>
      <c r="AI26" s="141">
        <f>AI42</f>
        <v>2.969534</v>
      </c>
      <c r="AJ26" s="141"/>
      <c r="AK26" s="141"/>
      <c r="AL26" s="141">
        <f>AL42</f>
        <v>2.969534</v>
      </c>
      <c r="AM26" s="141">
        <f>AM42</f>
        <v>0</v>
      </c>
      <c r="AN26" s="141">
        <f>AN42</f>
        <v>2.8616836475999996</v>
      </c>
      <c r="AO26" s="141"/>
      <c r="AP26" s="141"/>
      <c r="AQ26" s="141">
        <f>AQ42</f>
        <v>2.8616836475999996</v>
      </c>
      <c r="AR26" s="141">
        <f>AR42</f>
        <v>0</v>
      </c>
      <c r="AS26" s="204"/>
    </row>
    <row r="27" spans="1:45" s="5" customFormat="1" ht="15.75">
      <c r="A27" s="207" t="s">
        <v>284</v>
      </c>
      <c r="B27" s="161" t="s">
        <v>260</v>
      </c>
      <c r="C27" s="173" t="s">
        <v>261</v>
      </c>
      <c r="D27" s="141"/>
      <c r="E27" s="141"/>
      <c r="F27" s="141"/>
      <c r="G27" s="141"/>
      <c r="H27" s="141"/>
      <c r="I27" s="459">
        <f>I28+I39</f>
        <v>14.576839057799997</v>
      </c>
      <c r="J27" s="141"/>
      <c r="K27" s="141"/>
      <c r="L27" s="459">
        <f>L28+L39</f>
        <v>13.964126690599999</v>
      </c>
      <c r="M27" s="141"/>
      <c r="N27" s="141"/>
      <c r="O27" s="141"/>
      <c r="P27" s="141">
        <f aca="true" t="shared" si="5" ref="P27:U27">P28+P39</f>
        <v>14.576839057799997</v>
      </c>
      <c r="Q27" s="141">
        <f t="shared" si="5"/>
        <v>14.576839057799997</v>
      </c>
      <c r="R27" s="141">
        <f t="shared" si="5"/>
        <v>13.964126690599999</v>
      </c>
      <c r="S27" s="141">
        <f t="shared" si="5"/>
        <v>13.964126690599999</v>
      </c>
      <c r="T27" s="141">
        <f t="shared" si="5"/>
        <v>14.576839057799997</v>
      </c>
      <c r="U27" s="141">
        <f t="shared" si="5"/>
        <v>13.964126690599999</v>
      </c>
      <c r="V27" s="141"/>
      <c r="W27" s="141"/>
      <c r="X27" s="141"/>
      <c r="Y27" s="141">
        <f>Y28+Y39</f>
        <v>14.576839057799997</v>
      </c>
      <c r="Z27" s="141"/>
      <c r="AA27" s="141"/>
      <c r="AB27" s="141">
        <f>AB28+AB39</f>
        <v>14.576839057799997</v>
      </c>
      <c r="AC27" s="141">
        <f>AC28+AC39</f>
        <v>0</v>
      </c>
      <c r="AD27" s="141">
        <f>AD28+AD39</f>
        <v>13.964126690599999</v>
      </c>
      <c r="AE27" s="141"/>
      <c r="AF27" s="141"/>
      <c r="AG27" s="141">
        <f>AG28+AG39</f>
        <v>13.964126690599999</v>
      </c>
      <c r="AH27" s="141">
        <f>AH28+AH39</f>
        <v>0</v>
      </c>
      <c r="AI27" s="141">
        <f>AI28+AI39</f>
        <v>14.576839057799997</v>
      </c>
      <c r="AJ27" s="141"/>
      <c r="AK27" s="141"/>
      <c r="AL27" s="141">
        <f>AL28+AL39</f>
        <v>14.576839057799997</v>
      </c>
      <c r="AM27" s="141">
        <f>AM28+AM39</f>
        <v>0</v>
      </c>
      <c r="AN27" s="141">
        <f>AN28+AN39</f>
        <v>13.964126690599999</v>
      </c>
      <c r="AO27" s="141"/>
      <c r="AP27" s="141"/>
      <c r="AQ27" s="141">
        <f>AQ28+AQ39</f>
        <v>13.964126690599999</v>
      </c>
      <c r="AR27" s="141">
        <f>AR28+AR39</f>
        <v>0</v>
      </c>
      <c r="AS27" s="204"/>
    </row>
    <row r="28" spans="1:45" s="5" customFormat="1" ht="31.5">
      <c r="A28" s="207" t="s">
        <v>285</v>
      </c>
      <c r="B28" s="161" t="s">
        <v>263</v>
      </c>
      <c r="C28" s="173" t="s">
        <v>261</v>
      </c>
      <c r="D28" s="141"/>
      <c r="E28" s="141"/>
      <c r="F28" s="141"/>
      <c r="G28" s="141"/>
      <c r="H28" s="141"/>
      <c r="I28" s="459">
        <f>SUM(I29:I38)</f>
        <v>13.857039057799998</v>
      </c>
      <c r="J28" s="141"/>
      <c r="K28" s="141"/>
      <c r="L28" s="459">
        <f>SUM(L29:L38)</f>
        <v>13.015256098999998</v>
      </c>
      <c r="M28" s="141"/>
      <c r="N28" s="141"/>
      <c r="O28" s="141"/>
      <c r="P28" s="141">
        <f aca="true" t="shared" si="6" ref="P28:U28">SUM(P29:P38)</f>
        <v>13.857039057799998</v>
      </c>
      <c r="Q28" s="141">
        <f t="shared" si="6"/>
        <v>13.857039057799998</v>
      </c>
      <c r="R28" s="141">
        <f t="shared" si="6"/>
        <v>13.015256098999998</v>
      </c>
      <c r="S28" s="141">
        <f t="shared" si="6"/>
        <v>13.015256098999998</v>
      </c>
      <c r="T28" s="141">
        <f t="shared" si="6"/>
        <v>13.857039057799998</v>
      </c>
      <c r="U28" s="141">
        <f t="shared" si="6"/>
        <v>13.015256098999998</v>
      </c>
      <c r="V28" s="141"/>
      <c r="W28" s="141"/>
      <c r="X28" s="141"/>
      <c r="Y28" s="141">
        <f>SUM(Y29:Y38)</f>
        <v>13.857039057799998</v>
      </c>
      <c r="Z28" s="141"/>
      <c r="AA28" s="141"/>
      <c r="AB28" s="141">
        <f>SUM(AB29:AB38)</f>
        <v>13.857039057799998</v>
      </c>
      <c r="AC28" s="141">
        <f>SUM(AC29:AC38)</f>
        <v>0</v>
      </c>
      <c r="AD28" s="141">
        <f>SUM(AD29:AD38)</f>
        <v>13.015256098999998</v>
      </c>
      <c r="AE28" s="141"/>
      <c r="AF28" s="141"/>
      <c r="AG28" s="141">
        <f>SUM(AG29:AG38)</f>
        <v>13.015256098999998</v>
      </c>
      <c r="AH28" s="141">
        <f>SUM(AH29:AH38)</f>
        <v>0</v>
      </c>
      <c r="AI28" s="141">
        <f>SUM(AI29:AI38)</f>
        <v>13.857039057799998</v>
      </c>
      <c r="AJ28" s="141"/>
      <c r="AK28" s="141"/>
      <c r="AL28" s="141">
        <f>SUM(AL29:AL38)</f>
        <v>13.857039057799998</v>
      </c>
      <c r="AM28" s="141">
        <f>SUM(AM29:AM38)</f>
        <v>0</v>
      </c>
      <c r="AN28" s="141">
        <f>SUM(AN29:AN38)</f>
        <v>13.015256098999998</v>
      </c>
      <c r="AO28" s="141"/>
      <c r="AP28" s="141"/>
      <c r="AQ28" s="141">
        <f>SUM(AQ29:AQ38)</f>
        <v>13.015256098999998</v>
      </c>
      <c r="AR28" s="141">
        <f>SUM(AR29:AR38)</f>
        <v>0</v>
      </c>
      <c r="AS28" s="204"/>
    </row>
    <row r="29" spans="1:45" s="2" customFormat="1" ht="47.25">
      <c r="A29" s="205" t="s">
        <v>287</v>
      </c>
      <c r="B29" s="120" t="str">
        <f>1!B33</f>
        <v>Реконструкция ВЛ-0,4 кВ ул.Шоссейная, п.Иноземцево, (и/н 0000467), СИП-2 3х50+1х54,6 - 0,418 км, СИП-2 3х35+1х54,6 - 0,366 км и СИП-4 2х16 - 0,575 км</v>
      </c>
      <c r="C29" s="120" t="str">
        <f>1!C33</f>
        <v>G_Gelezno_001</v>
      </c>
      <c r="D29" s="91" t="s">
        <v>268</v>
      </c>
      <c r="E29" s="91">
        <v>2017</v>
      </c>
      <c r="F29" s="91">
        <v>2017</v>
      </c>
      <c r="G29" s="91"/>
      <c r="H29" s="121" t="s">
        <v>368</v>
      </c>
      <c r="I29" s="121">
        <f>0.65390371*1.18</f>
        <v>0.7716063778</v>
      </c>
      <c r="J29" s="123">
        <v>42766</v>
      </c>
      <c r="K29" s="91"/>
      <c r="L29" s="121">
        <f>0.65084746*1.18</f>
        <v>0.7680000028</v>
      </c>
      <c r="M29" s="123">
        <f aca="true" t="shared" si="7" ref="M29:M37">J29</f>
        <v>42766</v>
      </c>
      <c r="N29" s="91"/>
      <c r="O29" s="91"/>
      <c r="P29" s="124">
        <f>I29</f>
        <v>0.7716063778</v>
      </c>
      <c r="Q29" s="124">
        <f>I29</f>
        <v>0.7716063778</v>
      </c>
      <c r="R29" s="124">
        <f>L29</f>
        <v>0.7680000028</v>
      </c>
      <c r="S29" s="124">
        <f>L29</f>
        <v>0.7680000028</v>
      </c>
      <c r="T29" s="121">
        <f>I29</f>
        <v>0.7716063778</v>
      </c>
      <c r="U29" s="124">
        <f>S29</f>
        <v>0.7680000028</v>
      </c>
      <c r="V29" s="124"/>
      <c r="W29" s="124"/>
      <c r="X29" s="91"/>
      <c r="Y29" s="124">
        <f>I29</f>
        <v>0.7716063778</v>
      </c>
      <c r="Z29" s="124"/>
      <c r="AA29" s="124"/>
      <c r="AB29" s="124">
        <f>I29</f>
        <v>0.7716063778</v>
      </c>
      <c r="AC29" s="91"/>
      <c r="AD29" s="124">
        <f>AE29+AF29+AG29+AH29</f>
        <v>0.7680000028</v>
      </c>
      <c r="AE29" s="124"/>
      <c r="AF29" s="124"/>
      <c r="AG29" s="124">
        <f aca="true" t="shared" si="8" ref="AG29:AG37">L29</f>
        <v>0.7680000028</v>
      </c>
      <c r="AH29" s="91"/>
      <c r="AI29" s="124">
        <f>AJ29+AK29+AL29+AM29</f>
        <v>0.7716063778</v>
      </c>
      <c r="AJ29" s="124"/>
      <c r="AK29" s="124"/>
      <c r="AL29" s="124">
        <f>I29</f>
        <v>0.7716063778</v>
      </c>
      <c r="AM29" s="124"/>
      <c r="AN29" s="124">
        <f>AO29+AP29+AQ29+AR29</f>
        <v>0.7680000028</v>
      </c>
      <c r="AO29" s="124"/>
      <c r="AP29" s="124"/>
      <c r="AQ29" s="124">
        <f>AG29</f>
        <v>0.7680000028</v>
      </c>
      <c r="AR29" s="124"/>
      <c r="AS29" s="206" t="s">
        <v>247</v>
      </c>
    </row>
    <row r="30" spans="1:45" s="2" customFormat="1" ht="47.25">
      <c r="A30" s="205" t="s">
        <v>288</v>
      </c>
      <c r="B30" s="120" t="str">
        <f>1!B34</f>
        <v>Реконструкция ВЛ-0,4 кВ ул.Р.Люксембург, г.Железноводск, (и/н 0000305), СИП-2 3х35+1х54,6 - 0,367 км и СИП-4 2х16 - 0,45 км</v>
      </c>
      <c r="C30" s="120" t="str">
        <f>1!C34</f>
        <v>G_Gelezno_002</v>
      </c>
      <c r="D30" s="91" t="s">
        <v>268</v>
      </c>
      <c r="E30" s="91">
        <v>2017</v>
      </c>
      <c r="F30" s="91">
        <v>2017</v>
      </c>
      <c r="G30" s="91"/>
      <c r="H30" s="121" t="s">
        <v>368</v>
      </c>
      <c r="I30" s="121">
        <f>0.412*1.18</f>
        <v>0.4861599999999999</v>
      </c>
      <c r="J30" s="123">
        <v>42766</v>
      </c>
      <c r="K30" s="91"/>
      <c r="L30" s="121">
        <f>0.41186441*1.18</f>
        <v>0.48600000379999997</v>
      </c>
      <c r="M30" s="123">
        <f t="shared" si="7"/>
        <v>42766</v>
      </c>
      <c r="N30" s="91"/>
      <c r="O30" s="91"/>
      <c r="P30" s="124">
        <f aca="true" t="shared" si="9" ref="P30:P37">I30</f>
        <v>0.4861599999999999</v>
      </c>
      <c r="Q30" s="124">
        <f aca="true" t="shared" si="10" ref="Q30:Q37">I30</f>
        <v>0.4861599999999999</v>
      </c>
      <c r="R30" s="124">
        <f aca="true" t="shared" si="11" ref="R30:R37">L30</f>
        <v>0.48600000379999997</v>
      </c>
      <c r="S30" s="124">
        <f aca="true" t="shared" si="12" ref="S30:S37">L30</f>
        <v>0.48600000379999997</v>
      </c>
      <c r="T30" s="121">
        <f aca="true" t="shared" si="13" ref="T30:T37">I30</f>
        <v>0.4861599999999999</v>
      </c>
      <c r="U30" s="124">
        <f aca="true" t="shared" si="14" ref="U30:U37">S30</f>
        <v>0.48600000379999997</v>
      </c>
      <c r="V30" s="124"/>
      <c r="W30" s="124"/>
      <c r="X30" s="91"/>
      <c r="Y30" s="124">
        <f aca="true" t="shared" si="15" ref="Y30:Y37">I30</f>
        <v>0.4861599999999999</v>
      </c>
      <c r="Z30" s="124"/>
      <c r="AA30" s="124"/>
      <c r="AB30" s="124">
        <f aca="true" t="shared" si="16" ref="AB30:AB37">I30</f>
        <v>0.4861599999999999</v>
      </c>
      <c r="AC30" s="91"/>
      <c r="AD30" s="124">
        <f aca="true" t="shared" si="17" ref="AD30:AD37">AE30+AF30+AG30+AH30</f>
        <v>0.48600000379999997</v>
      </c>
      <c r="AE30" s="124"/>
      <c r="AF30" s="124"/>
      <c r="AG30" s="124">
        <f t="shared" si="8"/>
        <v>0.48600000379999997</v>
      </c>
      <c r="AH30" s="91"/>
      <c r="AI30" s="124">
        <f aca="true" t="shared" si="18" ref="AI30:AI37">AJ30+AK30+AL30+AM30</f>
        <v>0.4861599999999999</v>
      </c>
      <c r="AJ30" s="124"/>
      <c r="AK30" s="124"/>
      <c r="AL30" s="124">
        <f aca="true" t="shared" si="19" ref="AL30:AL37">I30</f>
        <v>0.4861599999999999</v>
      </c>
      <c r="AM30" s="124"/>
      <c r="AN30" s="124">
        <f aca="true" t="shared" si="20" ref="AN30:AN37">AO30+AP30+AQ30+AR30</f>
        <v>0.48600000379999997</v>
      </c>
      <c r="AO30" s="124"/>
      <c r="AP30" s="124"/>
      <c r="AQ30" s="124">
        <f aca="true" t="shared" si="21" ref="AQ30:AQ37">AG30</f>
        <v>0.48600000379999997</v>
      </c>
      <c r="AR30" s="124"/>
      <c r="AS30" s="206" t="s">
        <v>247</v>
      </c>
    </row>
    <row r="31" spans="1:45" s="2" customFormat="1" ht="47.25">
      <c r="A31" s="205" t="s">
        <v>289</v>
      </c>
      <c r="B31" s="120" t="str">
        <f>1!B35</f>
        <v>Реконструкция ВЛ-0,4 кВ ул.Свободы, п.Иноземцево, (и/н 0000450 и 0000451), СИП-2 3х35+1х54,6 - 2,35 км и СИП-4 2х16 - 2,97 км</v>
      </c>
      <c r="C31" s="120" t="str">
        <f>1!C35</f>
        <v>G_Gelezno_003</v>
      </c>
      <c r="D31" s="91" t="s">
        <v>268</v>
      </c>
      <c r="E31" s="91">
        <v>2017</v>
      </c>
      <c r="F31" s="91">
        <v>2017</v>
      </c>
      <c r="G31" s="91"/>
      <c r="H31" s="121" t="s">
        <v>368</v>
      </c>
      <c r="I31" s="121">
        <f>1.567*1.18+0.8</f>
        <v>2.64906</v>
      </c>
      <c r="J31" s="123">
        <v>42766</v>
      </c>
      <c r="K31" s="91"/>
      <c r="L31" s="121">
        <f>(0.49408951+1.09290498+0.62118085)*1.18</f>
        <v>2.6056469011999996</v>
      </c>
      <c r="M31" s="123">
        <f t="shared" si="7"/>
        <v>42766</v>
      </c>
      <c r="N31" s="91"/>
      <c r="O31" s="91"/>
      <c r="P31" s="124">
        <f t="shared" si="9"/>
        <v>2.64906</v>
      </c>
      <c r="Q31" s="124">
        <f t="shared" si="10"/>
        <v>2.64906</v>
      </c>
      <c r="R31" s="124">
        <f t="shared" si="11"/>
        <v>2.6056469011999996</v>
      </c>
      <c r="S31" s="124">
        <f t="shared" si="12"/>
        <v>2.6056469011999996</v>
      </c>
      <c r="T31" s="121">
        <f t="shared" si="13"/>
        <v>2.64906</v>
      </c>
      <c r="U31" s="124">
        <f t="shared" si="14"/>
        <v>2.6056469011999996</v>
      </c>
      <c r="V31" s="124"/>
      <c r="W31" s="124"/>
      <c r="X31" s="91"/>
      <c r="Y31" s="124">
        <f t="shared" si="15"/>
        <v>2.64906</v>
      </c>
      <c r="Z31" s="124"/>
      <c r="AA31" s="124"/>
      <c r="AB31" s="124">
        <f t="shared" si="16"/>
        <v>2.64906</v>
      </c>
      <c r="AC31" s="91"/>
      <c r="AD31" s="124">
        <f t="shared" si="17"/>
        <v>2.6056469011999996</v>
      </c>
      <c r="AE31" s="124"/>
      <c r="AF31" s="124"/>
      <c r="AG31" s="124">
        <f t="shared" si="8"/>
        <v>2.6056469011999996</v>
      </c>
      <c r="AH31" s="91"/>
      <c r="AI31" s="124">
        <f t="shared" si="18"/>
        <v>2.64906</v>
      </c>
      <c r="AJ31" s="124"/>
      <c r="AK31" s="124"/>
      <c r="AL31" s="124">
        <f t="shared" si="19"/>
        <v>2.64906</v>
      </c>
      <c r="AM31" s="124"/>
      <c r="AN31" s="124">
        <f t="shared" si="20"/>
        <v>2.6056469011999996</v>
      </c>
      <c r="AO31" s="124"/>
      <c r="AP31" s="124"/>
      <c r="AQ31" s="124">
        <f t="shared" si="21"/>
        <v>2.6056469011999996</v>
      </c>
      <c r="AR31" s="124"/>
      <c r="AS31" s="206" t="s">
        <v>247</v>
      </c>
    </row>
    <row r="32" spans="1:45" s="2" customFormat="1" ht="47.25">
      <c r="A32" s="205" t="s">
        <v>290</v>
      </c>
      <c r="B32" s="120" t="str">
        <f>1!B36</f>
        <v>Реконструкция ВЛ-0,4 кВ ул.Свободы до озера (от ул.Шоссей-ной), п.Иноземцево, (и/н 0000453), СИП-2 3х35+1х54,6 - 2,26 км и СИП-4 2х16 - 2,17 км</v>
      </c>
      <c r="C32" s="120" t="str">
        <f>1!C36</f>
        <v>G_Gelezno_004</v>
      </c>
      <c r="D32" s="91" t="s">
        <v>268</v>
      </c>
      <c r="E32" s="91">
        <v>2017</v>
      </c>
      <c r="F32" s="91">
        <v>2017</v>
      </c>
      <c r="G32" s="91"/>
      <c r="H32" s="121" t="s">
        <v>368</v>
      </c>
      <c r="I32" s="121">
        <f>0.879*1.18+0.5+0.55+0.56849616</f>
        <v>2.6557161600000003</v>
      </c>
      <c r="J32" s="123">
        <v>42766</v>
      </c>
      <c r="K32" s="91"/>
      <c r="L32" s="121">
        <f>(0.7129737+0.4433969+0.4487672+0.44732499)*1.18</f>
        <v>2.4219060921999995</v>
      </c>
      <c r="M32" s="123">
        <f t="shared" si="7"/>
        <v>42766</v>
      </c>
      <c r="N32" s="91"/>
      <c r="O32" s="91"/>
      <c r="P32" s="124">
        <f t="shared" si="9"/>
        <v>2.6557161600000003</v>
      </c>
      <c r="Q32" s="124">
        <f t="shared" si="10"/>
        <v>2.6557161600000003</v>
      </c>
      <c r="R32" s="124">
        <f t="shared" si="11"/>
        <v>2.4219060921999995</v>
      </c>
      <c r="S32" s="124">
        <f t="shared" si="12"/>
        <v>2.4219060921999995</v>
      </c>
      <c r="T32" s="121">
        <f t="shared" si="13"/>
        <v>2.6557161600000003</v>
      </c>
      <c r="U32" s="124">
        <f t="shared" si="14"/>
        <v>2.4219060921999995</v>
      </c>
      <c r="V32" s="124"/>
      <c r="W32" s="124"/>
      <c r="X32" s="91"/>
      <c r="Y32" s="124">
        <f t="shared" si="15"/>
        <v>2.6557161600000003</v>
      </c>
      <c r="Z32" s="124"/>
      <c r="AA32" s="124"/>
      <c r="AB32" s="124">
        <f t="shared" si="16"/>
        <v>2.6557161600000003</v>
      </c>
      <c r="AC32" s="91"/>
      <c r="AD32" s="124">
        <f t="shared" si="17"/>
        <v>2.4219060921999995</v>
      </c>
      <c r="AE32" s="124"/>
      <c r="AF32" s="124"/>
      <c r="AG32" s="124">
        <f t="shared" si="8"/>
        <v>2.4219060921999995</v>
      </c>
      <c r="AH32" s="91"/>
      <c r="AI32" s="124">
        <f t="shared" si="18"/>
        <v>2.6557161600000003</v>
      </c>
      <c r="AJ32" s="124"/>
      <c r="AK32" s="124"/>
      <c r="AL32" s="124">
        <f t="shared" si="19"/>
        <v>2.6557161600000003</v>
      </c>
      <c r="AM32" s="124"/>
      <c r="AN32" s="124">
        <f t="shared" si="20"/>
        <v>2.4219060921999995</v>
      </c>
      <c r="AO32" s="124"/>
      <c r="AP32" s="124"/>
      <c r="AQ32" s="124">
        <f t="shared" si="21"/>
        <v>2.4219060921999995</v>
      </c>
      <c r="AR32" s="124"/>
      <c r="AS32" s="206" t="s">
        <v>247</v>
      </c>
    </row>
    <row r="33" spans="1:45" s="2" customFormat="1" ht="47.25">
      <c r="A33" s="205" t="s">
        <v>331</v>
      </c>
      <c r="B33" s="120" t="str">
        <f>1!B37</f>
        <v>Реконструкция ВЛ-0,4 кВ ул.60 лет Октября, п.Иноземцево, (и/н 0000329 и 0000330), СИП-2 3х35+1х54,6 - 0,836 км и СИП-4 2х16 - 2,2 км</v>
      </c>
      <c r="C33" s="120" t="str">
        <f>1!C37</f>
        <v>G_Gelezno_005</v>
      </c>
      <c r="D33" s="91" t="s">
        <v>268</v>
      </c>
      <c r="E33" s="91">
        <v>2017</v>
      </c>
      <c r="F33" s="91">
        <v>2017</v>
      </c>
      <c r="G33" s="91"/>
      <c r="H33" s="121" t="s">
        <v>368</v>
      </c>
      <c r="I33" s="121">
        <f>1.094*1.18</f>
        <v>1.29092</v>
      </c>
      <c r="J33" s="123">
        <v>42766</v>
      </c>
      <c r="K33" s="91"/>
      <c r="L33" s="121">
        <f>(0.52159397+0.52038291)*1.18</f>
        <v>1.2295327184</v>
      </c>
      <c r="M33" s="123">
        <f t="shared" si="7"/>
        <v>42766</v>
      </c>
      <c r="N33" s="91"/>
      <c r="O33" s="91"/>
      <c r="P33" s="124">
        <f t="shared" si="9"/>
        <v>1.29092</v>
      </c>
      <c r="Q33" s="124">
        <f t="shared" si="10"/>
        <v>1.29092</v>
      </c>
      <c r="R33" s="124">
        <f t="shared" si="11"/>
        <v>1.2295327184</v>
      </c>
      <c r="S33" s="124">
        <f t="shared" si="12"/>
        <v>1.2295327184</v>
      </c>
      <c r="T33" s="121">
        <f t="shared" si="13"/>
        <v>1.29092</v>
      </c>
      <c r="U33" s="124">
        <f t="shared" si="14"/>
        <v>1.2295327184</v>
      </c>
      <c r="V33" s="124"/>
      <c r="W33" s="124"/>
      <c r="X33" s="91"/>
      <c r="Y33" s="124">
        <f t="shared" si="15"/>
        <v>1.29092</v>
      </c>
      <c r="Z33" s="124"/>
      <c r="AA33" s="124"/>
      <c r="AB33" s="124">
        <f t="shared" si="16"/>
        <v>1.29092</v>
      </c>
      <c r="AC33" s="91"/>
      <c r="AD33" s="124">
        <f t="shared" si="17"/>
        <v>1.2295327184</v>
      </c>
      <c r="AE33" s="124"/>
      <c r="AF33" s="124"/>
      <c r="AG33" s="124">
        <f t="shared" si="8"/>
        <v>1.2295327184</v>
      </c>
      <c r="AH33" s="91"/>
      <c r="AI33" s="124">
        <f t="shared" si="18"/>
        <v>1.29092</v>
      </c>
      <c r="AJ33" s="124"/>
      <c r="AK33" s="124"/>
      <c r="AL33" s="124">
        <f t="shared" si="19"/>
        <v>1.29092</v>
      </c>
      <c r="AM33" s="124"/>
      <c r="AN33" s="124">
        <f t="shared" si="20"/>
        <v>1.2295327184</v>
      </c>
      <c r="AO33" s="124"/>
      <c r="AP33" s="124"/>
      <c r="AQ33" s="124">
        <f t="shared" si="21"/>
        <v>1.2295327184</v>
      </c>
      <c r="AR33" s="124"/>
      <c r="AS33" s="206" t="s">
        <v>247</v>
      </c>
    </row>
    <row r="34" spans="1:45" s="2" customFormat="1" ht="47.25">
      <c r="A34" s="205" t="s">
        <v>335</v>
      </c>
      <c r="B34" s="120" t="str">
        <f>1!B38</f>
        <v>Реконструкция ВЛ-0,4 кВ ул.К.Цеткин и/н 0000376  и  ул.Пушкина и/н 0000440 п.Иноземцево, СИП-2 3х35+1х54,6 - 2,02 км и СИП-4 2х16 - 1,42 км</v>
      </c>
      <c r="C34" s="120" t="str">
        <f>1!C38</f>
        <v>G_Gelezno_006</v>
      </c>
      <c r="D34" s="91" t="s">
        <v>268</v>
      </c>
      <c r="E34" s="91">
        <v>2017</v>
      </c>
      <c r="F34" s="91">
        <v>2017</v>
      </c>
      <c r="G34" s="91"/>
      <c r="H34" s="121" t="s">
        <v>368</v>
      </c>
      <c r="I34" s="121">
        <f>2.285*1.18</f>
        <v>2.6963</v>
      </c>
      <c r="J34" s="123">
        <v>42766</v>
      </c>
      <c r="K34" s="91"/>
      <c r="L34" s="121">
        <f>1.4216815*1.18+0.71692498*1.18</f>
        <v>2.5235556464</v>
      </c>
      <c r="M34" s="123">
        <f t="shared" si="7"/>
        <v>42766</v>
      </c>
      <c r="N34" s="91"/>
      <c r="O34" s="91"/>
      <c r="P34" s="124">
        <f t="shared" si="9"/>
        <v>2.6963</v>
      </c>
      <c r="Q34" s="124">
        <f t="shared" si="10"/>
        <v>2.6963</v>
      </c>
      <c r="R34" s="124">
        <f t="shared" si="11"/>
        <v>2.5235556464</v>
      </c>
      <c r="S34" s="124">
        <f t="shared" si="12"/>
        <v>2.5235556464</v>
      </c>
      <c r="T34" s="121">
        <f t="shared" si="13"/>
        <v>2.6963</v>
      </c>
      <c r="U34" s="124">
        <f t="shared" si="14"/>
        <v>2.5235556464</v>
      </c>
      <c r="V34" s="124"/>
      <c r="W34" s="124"/>
      <c r="X34" s="91"/>
      <c r="Y34" s="124">
        <f t="shared" si="15"/>
        <v>2.6963</v>
      </c>
      <c r="Z34" s="124"/>
      <c r="AA34" s="124"/>
      <c r="AB34" s="124">
        <f t="shared" si="16"/>
        <v>2.6963</v>
      </c>
      <c r="AC34" s="91"/>
      <c r="AD34" s="124">
        <f t="shared" si="17"/>
        <v>2.5235556464</v>
      </c>
      <c r="AE34" s="124"/>
      <c r="AF34" s="124"/>
      <c r="AG34" s="124">
        <f t="shared" si="8"/>
        <v>2.5235556464</v>
      </c>
      <c r="AH34" s="91"/>
      <c r="AI34" s="124">
        <f t="shared" si="18"/>
        <v>2.6963</v>
      </c>
      <c r="AJ34" s="124"/>
      <c r="AK34" s="124"/>
      <c r="AL34" s="124">
        <f t="shared" si="19"/>
        <v>2.6963</v>
      </c>
      <c r="AM34" s="124"/>
      <c r="AN34" s="124">
        <f t="shared" si="20"/>
        <v>2.5235556464</v>
      </c>
      <c r="AO34" s="124"/>
      <c r="AP34" s="124"/>
      <c r="AQ34" s="124">
        <f t="shared" si="21"/>
        <v>2.5235556464</v>
      </c>
      <c r="AR34" s="124"/>
      <c r="AS34" s="206" t="s">
        <v>247</v>
      </c>
    </row>
    <row r="35" spans="1:45" s="2" customFormat="1" ht="47.25">
      <c r="A35" s="205" t="s">
        <v>714</v>
      </c>
      <c r="B35" s="120" t="str">
        <f>1!B39</f>
        <v>Реконструкция ВЛ-0,4 кВ ул.Бахановича, г.Железноводск, (и/н 0000285), СИП-2 3х35+1х54,6 - 0,502км и СИП-4 2х16 - 0,784 км</v>
      </c>
      <c r="C35" s="120" t="str">
        <f>1!C39</f>
        <v>G_Gelezno_007</v>
      </c>
      <c r="D35" s="91" t="s">
        <v>268</v>
      </c>
      <c r="E35" s="91">
        <v>2017</v>
      </c>
      <c r="F35" s="91">
        <v>2017</v>
      </c>
      <c r="G35" s="91"/>
      <c r="H35" s="121" t="s">
        <v>368</v>
      </c>
      <c r="I35" s="121">
        <f>0.623*1.18</f>
        <v>0.7351399999999999</v>
      </c>
      <c r="J35" s="123">
        <v>42766</v>
      </c>
      <c r="K35" s="91"/>
      <c r="L35" s="121">
        <f>0.60669792*1.18</f>
        <v>0.7159035455999999</v>
      </c>
      <c r="M35" s="123">
        <f t="shared" si="7"/>
        <v>42766</v>
      </c>
      <c r="N35" s="91"/>
      <c r="O35" s="91"/>
      <c r="P35" s="124">
        <f t="shared" si="9"/>
        <v>0.7351399999999999</v>
      </c>
      <c r="Q35" s="124">
        <f t="shared" si="10"/>
        <v>0.7351399999999999</v>
      </c>
      <c r="R35" s="124">
        <f t="shared" si="11"/>
        <v>0.7159035455999999</v>
      </c>
      <c r="S35" s="124">
        <f t="shared" si="12"/>
        <v>0.7159035455999999</v>
      </c>
      <c r="T35" s="121">
        <f t="shared" si="13"/>
        <v>0.7351399999999999</v>
      </c>
      <c r="U35" s="124">
        <f t="shared" si="14"/>
        <v>0.7159035455999999</v>
      </c>
      <c r="V35" s="124"/>
      <c r="W35" s="124"/>
      <c r="X35" s="91"/>
      <c r="Y35" s="124">
        <f t="shared" si="15"/>
        <v>0.7351399999999999</v>
      </c>
      <c r="Z35" s="124"/>
      <c r="AA35" s="124"/>
      <c r="AB35" s="124">
        <f t="shared" si="16"/>
        <v>0.7351399999999999</v>
      </c>
      <c r="AC35" s="91"/>
      <c r="AD35" s="124">
        <f t="shared" si="17"/>
        <v>0.7159035455999999</v>
      </c>
      <c r="AE35" s="124"/>
      <c r="AF35" s="124"/>
      <c r="AG35" s="124">
        <f t="shared" si="8"/>
        <v>0.7159035455999999</v>
      </c>
      <c r="AH35" s="91"/>
      <c r="AI35" s="124">
        <f t="shared" si="18"/>
        <v>0.7351399999999999</v>
      </c>
      <c r="AJ35" s="124"/>
      <c r="AK35" s="124"/>
      <c r="AL35" s="124">
        <f t="shared" si="19"/>
        <v>0.7351399999999999</v>
      </c>
      <c r="AM35" s="124"/>
      <c r="AN35" s="124">
        <f t="shared" si="20"/>
        <v>0.7159035455999999</v>
      </c>
      <c r="AO35" s="124"/>
      <c r="AP35" s="124"/>
      <c r="AQ35" s="124">
        <f t="shared" si="21"/>
        <v>0.7159035455999999</v>
      </c>
      <c r="AR35" s="124"/>
      <c r="AS35" s="206" t="s">
        <v>247</v>
      </c>
    </row>
    <row r="36" spans="1:45" s="2" customFormat="1" ht="47.25">
      <c r="A36" s="205" t="s">
        <v>715</v>
      </c>
      <c r="B36" s="120" t="str">
        <f>1!B40</f>
        <v>Реконструкция ВЛ-0,4 кВ ул.Ивановская, г. Железноводск, (и/н 0000370 и 0000371 ), СИП-2 3х35+1х54,6 - 1,12 км и СИП-4 2х16 - 0,4 км</v>
      </c>
      <c r="C36" s="120" t="str">
        <f>1!C40</f>
        <v>G_Gelezno_008</v>
      </c>
      <c r="D36" s="91" t="s">
        <v>268</v>
      </c>
      <c r="E36" s="91">
        <v>2017</v>
      </c>
      <c r="F36" s="91">
        <v>2017</v>
      </c>
      <c r="G36" s="91"/>
      <c r="H36" s="121" t="s">
        <v>368</v>
      </c>
      <c r="I36" s="121">
        <f>1.523*1.18-0.3</f>
        <v>1.4971399999999997</v>
      </c>
      <c r="J36" s="123">
        <v>42766</v>
      </c>
      <c r="K36" s="91"/>
      <c r="L36" s="121">
        <f>0.25999832*1.18+0.76392173*1.18</f>
        <v>1.2082256589999998</v>
      </c>
      <c r="M36" s="123">
        <f t="shared" si="7"/>
        <v>42766</v>
      </c>
      <c r="N36" s="91"/>
      <c r="O36" s="91"/>
      <c r="P36" s="124">
        <f t="shared" si="9"/>
        <v>1.4971399999999997</v>
      </c>
      <c r="Q36" s="124">
        <f t="shared" si="10"/>
        <v>1.4971399999999997</v>
      </c>
      <c r="R36" s="124">
        <f t="shared" si="11"/>
        <v>1.2082256589999998</v>
      </c>
      <c r="S36" s="124">
        <f t="shared" si="12"/>
        <v>1.2082256589999998</v>
      </c>
      <c r="T36" s="121">
        <f t="shared" si="13"/>
        <v>1.4971399999999997</v>
      </c>
      <c r="U36" s="124">
        <f t="shared" si="14"/>
        <v>1.2082256589999998</v>
      </c>
      <c r="V36" s="124"/>
      <c r="W36" s="124"/>
      <c r="X36" s="91"/>
      <c r="Y36" s="124">
        <f t="shared" si="15"/>
        <v>1.4971399999999997</v>
      </c>
      <c r="Z36" s="124"/>
      <c r="AA36" s="124"/>
      <c r="AB36" s="124">
        <f t="shared" si="16"/>
        <v>1.4971399999999997</v>
      </c>
      <c r="AC36" s="91"/>
      <c r="AD36" s="124">
        <f t="shared" si="17"/>
        <v>1.2082256589999998</v>
      </c>
      <c r="AE36" s="124"/>
      <c r="AF36" s="124"/>
      <c r="AG36" s="124">
        <f t="shared" si="8"/>
        <v>1.2082256589999998</v>
      </c>
      <c r="AH36" s="91"/>
      <c r="AI36" s="124">
        <f t="shared" si="18"/>
        <v>1.4971399999999997</v>
      </c>
      <c r="AJ36" s="124"/>
      <c r="AK36" s="124"/>
      <c r="AL36" s="124">
        <f t="shared" si="19"/>
        <v>1.4971399999999997</v>
      </c>
      <c r="AM36" s="124"/>
      <c r="AN36" s="124">
        <f t="shared" si="20"/>
        <v>1.2082256589999998</v>
      </c>
      <c r="AO36" s="124"/>
      <c r="AP36" s="124"/>
      <c r="AQ36" s="124">
        <f t="shared" si="21"/>
        <v>1.2082256589999998</v>
      </c>
      <c r="AR36" s="124"/>
      <c r="AS36" s="206" t="s">
        <v>247</v>
      </c>
    </row>
    <row r="37" spans="1:45" s="2" customFormat="1" ht="47.25">
      <c r="A37" s="205" t="s">
        <v>716</v>
      </c>
      <c r="B37" s="120" t="str">
        <f>1!B41</f>
        <v>Реконструкция ВЛ-0,4 кВ ул.Бахановича от ул.Чапаева, г.Желез-новодск, (и/н 0000283), СИП-2 3х35+1х54,6 - 0,836 км и СИП-4 2х16 - 1,306 км</v>
      </c>
      <c r="C37" s="120" t="str">
        <f>1!C41</f>
        <v>G_Gelezno_009</v>
      </c>
      <c r="D37" s="91" t="s">
        <v>268</v>
      </c>
      <c r="E37" s="91">
        <v>2017</v>
      </c>
      <c r="F37" s="91">
        <v>2017</v>
      </c>
      <c r="G37" s="91"/>
      <c r="H37" s="121" t="s">
        <v>368</v>
      </c>
      <c r="I37" s="121">
        <f>0.911014*1.18</f>
        <v>1.07499652</v>
      </c>
      <c r="J37" s="123">
        <v>42766</v>
      </c>
      <c r="K37" s="91"/>
      <c r="L37" s="121">
        <f>0.89532672*1.18</f>
        <v>1.0564855296</v>
      </c>
      <c r="M37" s="123">
        <f t="shared" si="7"/>
        <v>42766</v>
      </c>
      <c r="N37" s="91"/>
      <c r="O37" s="91"/>
      <c r="P37" s="124">
        <f t="shared" si="9"/>
        <v>1.07499652</v>
      </c>
      <c r="Q37" s="124">
        <f t="shared" si="10"/>
        <v>1.07499652</v>
      </c>
      <c r="R37" s="124">
        <f t="shared" si="11"/>
        <v>1.0564855296</v>
      </c>
      <c r="S37" s="124">
        <f t="shared" si="12"/>
        <v>1.0564855296</v>
      </c>
      <c r="T37" s="121">
        <f t="shared" si="13"/>
        <v>1.07499652</v>
      </c>
      <c r="U37" s="124">
        <f t="shared" si="14"/>
        <v>1.0564855296</v>
      </c>
      <c r="V37" s="124"/>
      <c r="W37" s="124"/>
      <c r="X37" s="91"/>
      <c r="Y37" s="124">
        <f t="shared" si="15"/>
        <v>1.07499652</v>
      </c>
      <c r="Z37" s="124"/>
      <c r="AA37" s="124"/>
      <c r="AB37" s="124">
        <f t="shared" si="16"/>
        <v>1.07499652</v>
      </c>
      <c r="AC37" s="91"/>
      <c r="AD37" s="124">
        <f t="shared" si="17"/>
        <v>1.0564855296</v>
      </c>
      <c r="AE37" s="124"/>
      <c r="AF37" s="124"/>
      <c r="AG37" s="124">
        <f t="shared" si="8"/>
        <v>1.0564855296</v>
      </c>
      <c r="AH37" s="91"/>
      <c r="AI37" s="124">
        <f t="shared" si="18"/>
        <v>1.07499652</v>
      </c>
      <c r="AJ37" s="124"/>
      <c r="AK37" s="124"/>
      <c r="AL37" s="124">
        <f t="shared" si="19"/>
        <v>1.07499652</v>
      </c>
      <c r="AM37" s="124"/>
      <c r="AN37" s="124">
        <f t="shared" si="20"/>
        <v>1.0564855296</v>
      </c>
      <c r="AO37" s="124"/>
      <c r="AP37" s="124"/>
      <c r="AQ37" s="124">
        <f t="shared" si="21"/>
        <v>1.0564855296</v>
      </c>
      <c r="AR37" s="124"/>
      <c r="AS37" s="206" t="s">
        <v>247</v>
      </c>
    </row>
    <row r="38" spans="1:45" s="2" customFormat="1" ht="15.75">
      <c r="A38" s="205"/>
      <c r="B38" s="120"/>
      <c r="C38" s="120"/>
      <c r="D38" s="91"/>
      <c r="E38" s="91"/>
      <c r="F38" s="91"/>
      <c r="G38" s="91"/>
      <c r="H38" s="121"/>
      <c r="I38" s="121"/>
      <c r="J38" s="123"/>
      <c r="K38" s="91"/>
      <c r="L38" s="124"/>
      <c r="M38" s="91"/>
      <c r="N38" s="91"/>
      <c r="O38" s="91"/>
      <c r="P38" s="124"/>
      <c r="Q38" s="124"/>
      <c r="R38" s="471"/>
      <c r="S38" s="471"/>
      <c r="T38" s="121"/>
      <c r="U38" s="91"/>
      <c r="V38" s="124"/>
      <c r="W38" s="124"/>
      <c r="X38" s="91"/>
      <c r="Y38" s="124"/>
      <c r="Z38" s="124"/>
      <c r="AA38" s="124"/>
      <c r="AB38" s="124"/>
      <c r="AC38" s="91"/>
      <c r="AD38" s="91"/>
      <c r="AE38" s="91"/>
      <c r="AF38" s="91"/>
      <c r="AG38" s="91"/>
      <c r="AH38" s="91"/>
      <c r="AI38" s="124"/>
      <c r="AJ38" s="124"/>
      <c r="AK38" s="124"/>
      <c r="AL38" s="124"/>
      <c r="AM38" s="124"/>
      <c r="AN38" s="124"/>
      <c r="AO38" s="124"/>
      <c r="AP38" s="124"/>
      <c r="AQ38" s="124"/>
      <c r="AR38" s="124"/>
      <c r="AS38" s="206"/>
    </row>
    <row r="39" spans="1:45" s="5" customFormat="1" ht="15.75">
      <c r="A39" s="207" t="str">
        <f>1!A43</f>
        <v>1.2</v>
      </c>
      <c r="B39" s="138" t="str">
        <f>1!B43</f>
        <v>Реконструкция трансформаторных и иных подстанций, всего, в том числе:</v>
      </c>
      <c r="C39" s="137" t="str">
        <f>1!C43</f>
        <v>Г</v>
      </c>
      <c r="D39" s="137"/>
      <c r="E39" s="137"/>
      <c r="F39" s="137"/>
      <c r="G39" s="137"/>
      <c r="H39" s="139"/>
      <c r="I39" s="139">
        <f>SUM(I40:I41)</f>
        <v>0.7198</v>
      </c>
      <c r="J39" s="140"/>
      <c r="K39" s="137"/>
      <c r="L39" s="141">
        <f>SUM(L40:L41)</f>
        <v>0.9488705916</v>
      </c>
      <c r="M39" s="137"/>
      <c r="N39" s="137"/>
      <c r="O39" s="137"/>
      <c r="P39" s="139">
        <f aca="true" t="shared" si="22" ref="P39:U39">SUM(P40:P41)</f>
        <v>0.7198</v>
      </c>
      <c r="Q39" s="139">
        <f t="shared" si="22"/>
        <v>0.7198</v>
      </c>
      <c r="R39" s="139">
        <f t="shared" si="22"/>
        <v>0.9488705916</v>
      </c>
      <c r="S39" s="139">
        <f t="shared" si="22"/>
        <v>0.9488705916</v>
      </c>
      <c r="T39" s="139">
        <f t="shared" si="22"/>
        <v>0.7198</v>
      </c>
      <c r="U39" s="139">
        <f t="shared" si="22"/>
        <v>0.9488705916</v>
      </c>
      <c r="V39" s="139"/>
      <c r="W39" s="139"/>
      <c r="X39" s="137"/>
      <c r="Y39" s="139">
        <f>SUM(Y40:Y41)</f>
        <v>0.7198</v>
      </c>
      <c r="Z39" s="141"/>
      <c r="AA39" s="141"/>
      <c r="AB39" s="139">
        <f>SUM(AB40:AB41)</f>
        <v>0.7198</v>
      </c>
      <c r="AC39" s="137"/>
      <c r="AD39" s="139">
        <f>SUM(AD40:AD41)</f>
        <v>0.9488705916</v>
      </c>
      <c r="AE39" s="141"/>
      <c r="AF39" s="141"/>
      <c r="AG39" s="139">
        <f>SUM(AG40:AG41)</f>
        <v>0.9488705916</v>
      </c>
      <c r="AH39" s="137"/>
      <c r="AI39" s="139">
        <f>SUM(AI40:AI41)</f>
        <v>0.7198</v>
      </c>
      <c r="AJ39" s="141"/>
      <c r="AK39" s="141"/>
      <c r="AL39" s="139">
        <f>SUM(AL40:AL41)</f>
        <v>0.7198</v>
      </c>
      <c r="AM39" s="141"/>
      <c r="AN39" s="139">
        <f>SUM(AN40:AN41)</f>
        <v>0.9488705916</v>
      </c>
      <c r="AO39" s="141"/>
      <c r="AP39" s="141"/>
      <c r="AQ39" s="139">
        <f>SUM(AQ40:AQ41)</f>
        <v>0.9488705916</v>
      </c>
      <c r="AR39" s="141"/>
      <c r="AS39" s="208"/>
    </row>
    <row r="40" spans="1:45" s="2" customFormat="1" ht="47.25">
      <c r="A40" s="205" t="str">
        <f>1!A44</f>
        <v>1.2</v>
      </c>
      <c r="B40" s="120" t="str">
        <f>1!B44</f>
        <v>Реконструкция в ТП-187  (и/н 0001379) (камера сборная серии КСО-393-13-400 - 1 шт. и камера сборная серии КСО-393-01 - 1шт.)</v>
      </c>
      <c r="C40" s="120" t="str">
        <f>1!C44</f>
        <v>G_Gelezno_010</v>
      </c>
      <c r="D40" s="91" t="s">
        <v>268</v>
      </c>
      <c r="E40" s="91">
        <v>2017</v>
      </c>
      <c r="F40" s="91">
        <v>2017</v>
      </c>
      <c r="G40" s="91"/>
      <c r="H40" s="121" t="s">
        <v>368</v>
      </c>
      <c r="I40" s="124">
        <f>0.61*1.18</f>
        <v>0.7198</v>
      </c>
      <c r="J40" s="123">
        <v>42769</v>
      </c>
      <c r="K40" s="91"/>
      <c r="L40" s="124">
        <f>0.80412762*1.18</f>
        <v>0.9488705916</v>
      </c>
      <c r="M40" s="123">
        <f>J40</f>
        <v>42769</v>
      </c>
      <c r="N40" s="91"/>
      <c r="O40" s="91"/>
      <c r="P40" s="124">
        <f>I40</f>
        <v>0.7198</v>
      </c>
      <c r="Q40" s="124">
        <f>I40</f>
        <v>0.7198</v>
      </c>
      <c r="R40" s="124">
        <f>L40</f>
        <v>0.9488705916</v>
      </c>
      <c r="S40" s="124">
        <f>L40</f>
        <v>0.9488705916</v>
      </c>
      <c r="T40" s="121">
        <f>I40</f>
        <v>0.7198</v>
      </c>
      <c r="U40" s="124">
        <f>S40</f>
        <v>0.9488705916</v>
      </c>
      <c r="V40" s="124"/>
      <c r="W40" s="124"/>
      <c r="X40" s="91"/>
      <c r="Y40" s="124">
        <f>Z40+AA40+AB40+AC40</f>
        <v>0.7198</v>
      </c>
      <c r="Z40" s="377"/>
      <c r="AA40" s="377"/>
      <c r="AB40" s="124">
        <f>I40</f>
        <v>0.7198</v>
      </c>
      <c r="AC40" s="91"/>
      <c r="AD40" s="124">
        <f>AE40+AF40+AG40+AH40</f>
        <v>0.9488705916</v>
      </c>
      <c r="AE40" s="124"/>
      <c r="AF40" s="124"/>
      <c r="AG40" s="124">
        <f>L40</f>
        <v>0.9488705916</v>
      </c>
      <c r="AH40" s="91"/>
      <c r="AI40" s="124">
        <f>AJ40+AK40+AL40+AM40</f>
        <v>0.7198</v>
      </c>
      <c r="AJ40" s="377"/>
      <c r="AK40" s="377"/>
      <c r="AL40" s="124">
        <f>I40</f>
        <v>0.7198</v>
      </c>
      <c r="AM40" s="124"/>
      <c r="AN40" s="124">
        <f>AO40+AP40+AQ40+AR40</f>
        <v>0.9488705916</v>
      </c>
      <c r="AO40" s="124"/>
      <c r="AP40" s="124"/>
      <c r="AQ40" s="124">
        <f>AG40</f>
        <v>0.9488705916</v>
      </c>
      <c r="AR40" s="124"/>
      <c r="AS40" s="206" t="s">
        <v>247</v>
      </c>
    </row>
    <row r="41" spans="1:45" s="2" customFormat="1" ht="15.75">
      <c r="A41" s="205"/>
      <c r="B41" s="120"/>
      <c r="C41" s="120"/>
      <c r="D41" s="91"/>
      <c r="E41" s="91"/>
      <c r="F41" s="91"/>
      <c r="G41" s="91"/>
      <c r="H41" s="121"/>
      <c r="I41" s="121"/>
      <c r="J41" s="123"/>
      <c r="K41" s="91"/>
      <c r="L41" s="124"/>
      <c r="M41" s="91"/>
      <c r="N41" s="91"/>
      <c r="O41" s="91"/>
      <c r="P41" s="124"/>
      <c r="Q41" s="124"/>
      <c r="R41" s="471"/>
      <c r="S41" s="471"/>
      <c r="T41" s="121"/>
      <c r="U41" s="91"/>
      <c r="V41" s="124"/>
      <c r="W41" s="124"/>
      <c r="X41" s="91"/>
      <c r="Y41" s="124"/>
      <c r="Z41" s="124"/>
      <c r="AA41" s="124"/>
      <c r="AB41" s="124"/>
      <c r="AC41" s="91"/>
      <c r="AD41" s="91"/>
      <c r="AE41" s="91"/>
      <c r="AF41" s="91"/>
      <c r="AG41" s="91"/>
      <c r="AH41" s="91"/>
      <c r="AI41" s="124"/>
      <c r="AJ41" s="124"/>
      <c r="AK41" s="124"/>
      <c r="AL41" s="124"/>
      <c r="AM41" s="124"/>
      <c r="AN41" s="124"/>
      <c r="AO41" s="124"/>
      <c r="AP41" s="124"/>
      <c r="AQ41" s="124"/>
      <c r="AR41" s="124"/>
      <c r="AS41" s="206"/>
    </row>
    <row r="42" spans="1:45" s="5" customFormat="1" ht="15.75">
      <c r="A42" s="207" t="str">
        <f>1!A46</f>
        <v>1.3</v>
      </c>
      <c r="B42" s="138" t="str">
        <f>1!B46</f>
        <v>Прочие инвестиционные проекты, всего, в том числе:</v>
      </c>
      <c r="C42" s="137" t="str">
        <f>1!C46</f>
        <v>Г</v>
      </c>
      <c r="D42" s="137"/>
      <c r="E42" s="137"/>
      <c r="F42" s="137"/>
      <c r="G42" s="137"/>
      <c r="H42" s="139"/>
      <c r="I42" s="139">
        <f>SUM(I43:I45)</f>
        <v>2.969534</v>
      </c>
      <c r="J42" s="140"/>
      <c r="K42" s="137"/>
      <c r="L42" s="141">
        <f>SUM(L43:L45)</f>
        <v>2.8616836475999996</v>
      </c>
      <c r="M42" s="137"/>
      <c r="N42" s="137"/>
      <c r="O42" s="137"/>
      <c r="P42" s="139">
        <f aca="true" t="shared" si="23" ref="P42:U42">SUM(P43:P45)</f>
        <v>2.969534</v>
      </c>
      <c r="Q42" s="139">
        <f t="shared" si="23"/>
        <v>2.969534</v>
      </c>
      <c r="R42" s="139">
        <f t="shared" si="23"/>
        <v>2.8616836475999996</v>
      </c>
      <c r="S42" s="139">
        <f t="shared" si="23"/>
        <v>2.8616836475999996</v>
      </c>
      <c r="T42" s="139">
        <f t="shared" si="23"/>
        <v>2.969534</v>
      </c>
      <c r="U42" s="139">
        <f t="shared" si="23"/>
        <v>2.8616836475999996</v>
      </c>
      <c r="V42" s="139"/>
      <c r="W42" s="139"/>
      <c r="X42" s="137"/>
      <c r="Y42" s="139">
        <f>SUM(Y43:Y45)</f>
        <v>2.969534</v>
      </c>
      <c r="Z42" s="141"/>
      <c r="AA42" s="141"/>
      <c r="AB42" s="139">
        <f>SUM(AB43:AB45)</f>
        <v>2.969534</v>
      </c>
      <c r="AC42" s="137"/>
      <c r="AD42" s="139">
        <f>SUM(AD43:AD45)</f>
        <v>2.8616836475999996</v>
      </c>
      <c r="AE42" s="141"/>
      <c r="AF42" s="141"/>
      <c r="AG42" s="139">
        <f>SUM(AG43:AG45)</f>
        <v>2.8616836475999996</v>
      </c>
      <c r="AH42" s="137"/>
      <c r="AI42" s="139">
        <f>SUM(AI43:AI45)</f>
        <v>2.969534</v>
      </c>
      <c r="AJ42" s="141"/>
      <c r="AK42" s="141"/>
      <c r="AL42" s="139">
        <f>SUM(AL43:AL45)</f>
        <v>2.969534</v>
      </c>
      <c r="AM42" s="141"/>
      <c r="AN42" s="139">
        <f>SUM(AN43:AN45)</f>
        <v>2.8616836475999996</v>
      </c>
      <c r="AO42" s="141"/>
      <c r="AP42" s="141"/>
      <c r="AQ42" s="139">
        <f>SUM(AQ43:AQ45)</f>
        <v>2.8616836475999996</v>
      </c>
      <c r="AR42" s="141"/>
      <c r="AS42" s="208"/>
    </row>
    <row r="43" spans="1:45" s="2" customFormat="1" ht="47.25">
      <c r="A43" s="205" t="s">
        <v>717</v>
      </c>
      <c r="B43" s="120" t="str">
        <f>1!B47</f>
        <v>Внутренний контур системы коммерческого учёта АСКУЭ   в   ТП-40; 15; 185; 28; 9  и  РП-3; 4; 5; 6.</v>
      </c>
      <c r="C43" s="120" t="str">
        <f>1!C47</f>
        <v>G_Gelezno_011</v>
      </c>
      <c r="D43" s="91" t="s">
        <v>268</v>
      </c>
      <c r="E43" s="91">
        <v>2017</v>
      </c>
      <c r="F43" s="91">
        <v>2017</v>
      </c>
      <c r="G43" s="91"/>
      <c r="H43" s="121" t="s">
        <v>368</v>
      </c>
      <c r="I43" s="124">
        <v>1.299534</v>
      </c>
      <c r="J43" s="123">
        <v>42736</v>
      </c>
      <c r="K43" s="91"/>
      <c r="L43" s="124">
        <f>1.05535648*1.18</f>
        <v>1.2453206464</v>
      </c>
      <c r="M43" s="123">
        <f>J43</f>
        <v>42736</v>
      </c>
      <c r="N43" s="91"/>
      <c r="O43" s="91"/>
      <c r="P43" s="124">
        <f>I43</f>
        <v>1.299534</v>
      </c>
      <c r="Q43" s="124">
        <f>I43</f>
        <v>1.299534</v>
      </c>
      <c r="R43" s="124">
        <f>L43</f>
        <v>1.2453206464</v>
      </c>
      <c r="S43" s="124">
        <f>L43</f>
        <v>1.2453206464</v>
      </c>
      <c r="T43" s="121">
        <f>I43</f>
        <v>1.299534</v>
      </c>
      <c r="U43" s="124">
        <f>S43</f>
        <v>1.2453206464</v>
      </c>
      <c r="V43" s="124"/>
      <c r="W43" s="124"/>
      <c r="X43" s="91"/>
      <c r="Y43" s="124">
        <f>Z43+AA43+AB43+AC43</f>
        <v>1.299534</v>
      </c>
      <c r="Z43" s="377"/>
      <c r="AA43" s="377"/>
      <c r="AB43" s="124">
        <f>I43</f>
        <v>1.299534</v>
      </c>
      <c r="AC43" s="91"/>
      <c r="AD43" s="124">
        <f>AE43+AF43+AG43+AH43</f>
        <v>1.2453206464</v>
      </c>
      <c r="AE43" s="124"/>
      <c r="AF43" s="124"/>
      <c r="AG43" s="124">
        <f>L43</f>
        <v>1.2453206464</v>
      </c>
      <c r="AH43" s="91"/>
      <c r="AI43" s="124">
        <f>AJ43+AK43+AL43+AM43</f>
        <v>1.299534</v>
      </c>
      <c r="AJ43" s="377"/>
      <c r="AK43" s="377"/>
      <c r="AL43" s="124">
        <f aca="true" t="shared" si="24" ref="AL43:AL48">I43</f>
        <v>1.299534</v>
      </c>
      <c r="AM43" s="124"/>
      <c r="AN43" s="124">
        <f>AO43+AP43+AQ43+AR43</f>
        <v>1.2453206464</v>
      </c>
      <c r="AO43" s="124"/>
      <c r="AP43" s="124"/>
      <c r="AQ43" s="124">
        <f>AG43</f>
        <v>1.2453206464</v>
      </c>
      <c r="AR43" s="124"/>
      <c r="AS43" s="206" t="s">
        <v>247</v>
      </c>
    </row>
    <row r="44" spans="1:45" s="2" customFormat="1" ht="47.25">
      <c r="A44" s="205" t="s">
        <v>718</v>
      </c>
      <c r="B44" s="120" t="str">
        <f>1!B48</f>
        <v>Оборудование, не требующее монтажа</v>
      </c>
      <c r="C44" s="120" t="str">
        <f>1!C48</f>
        <v>G_Gelezno_012</v>
      </c>
      <c r="D44" s="91" t="s">
        <v>268</v>
      </c>
      <c r="E44" s="91">
        <v>2017</v>
      </c>
      <c r="F44" s="91">
        <v>2017</v>
      </c>
      <c r="G44" s="91"/>
      <c r="H44" s="121" t="s">
        <v>368</v>
      </c>
      <c r="I44" s="124">
        <v>1.67</v>
      </c>
      <c r="J44" s="123">
        <v>42739</v>
      </c>
      <c r="K44" s="91"/>
      <c r="L44" s="124">
        <f>0.59607034*1.18+0.2+0.713</f>
        <v>1.6163630011999999</v>
      </c>
      <c r="M44" s="123">
        <f>J44</f>
        <v>42739</v>
      </c>
      <c r="N44" s="91"/>
      <c r="O44" s="91"/>
      <c r="P44" s="124">
        <f>I44</f>
        <v>1.67</v>
      </c>
      <c r="Q44" s="124">
        <f>I44</f>
        <v>1.67</v>
      </c>
      <c r="R44" s="124">
        <f>L44</f>
        <v>1.6163630011999999</v>
      </c>
      <c r="S44" s="124">
        <f>L44</f>
        <v>1.6163630011999999</v>
      </c>
      <c r="T44" s="121">
        <f>I44</f>
        <v>1.67</v>
      </c>
      <c r="U44" s="124">
        <f>S44</f>
        <v>1.6163630011999999</v>
      </c>
      <c r="V44" s="124"/>
      <c r="W44" s="124"/>
      <c r="X44" s="91"/>
      <c r="Y44" s="124">
        <f>Z44+AA44+AB44+AC44</f>
        <v>1.67</v>
      </c>
      <c r="Z44" s="377"/>
      <c r="AA44" s="377"/>
      <c r="AB44" s="124">
        <f>I44</f>
        <v>1.67</v>
      </c>
      <c r="AC44" s="91"/>
      <c r="AD44" s="124">
        <f>AE44+AF44+AG44+AH44</f>
        <v>1.6163630011999999</v>
      </c>
      <c r="AE44" s="124"/>
      <c r="AF44" s="124"/>
      <c r="AG44" s="124">
        <f>L44</f>
        <v>1.6163630011999999</v>
      </c>
      <c r="AH44" s="91"/>
      <c r="AI44" s="124">
        <f>AJ44+AK44+AL44+AM44</f>
        <v>1.67</v>
      </c>
      <c r="AJ44" s="377"/>
      <c r="AK44" s="377"/>
      <c r="AL44" s="124">
        <f t="shared" si="24"/>
        <v>1.67</v>
      </c>
      <c r="AM44" s="124"/>
      <c r="AN44" s="124">
        <f>AO44+AP44+AQ44+AR44</f>
        <v>1.6163630011999999</v>
      </c>
      <c r="AO44" s="124"/>
      <c r="AP44" s="124"/>
      <c r="AQ44" s="124">
        <f>AG44</f>
        <v>1.6163630011999999</v>
      </c>
      <c r="AR44" s="124"/>
      <c r="AS44" s="206" t="s">
        <v>247</v>
      </c>
    </row>
    <row r="45" spans="1:45" s="2" customFormat="1" ht="15.75">
      <c r="A45" s="205"/>
      <c r="B45" s="120"/>
      <c r="C45" s="120"/>
      <c r="D45" s="91"/>
      <c r="E45" s="91"/>
      <c r="F45" s="91"/>
      <c r="G45" s="91"/>
      <c r="H45" s="121"/>
      <c r="I45" s="121"/>
      <c r="J45" s="123"/>
      <c r="K45" s="91"/>
      <c r="L45" s="124"/>
      <c r="M45" s="91"/>
      <c r="N45" s="91"/>
      <c r="O45" s="91"/>
      <c r="P45" s="124"/>
      <c r="Q45" s="124"/>
      <c r="R45" s="471"/>
      <c r="S45" s="471"/>
      <c r="T45" s="121"/>
      <c r="U45" s="91"/>
      <c r="V45" s="124"/>
      <c r="W45" s="124"/>
      <c r="X45" s="91"/>
      <c r="Y45" s="124"/>
      <c r="Z45" s="124"/>
      <c r="AA45" s="124"/>
      <c r="AB45" s="124"/>
      <c r="AC45" s="91"/>
      <c r="AD45" s="91"/>
      <c r="AE45" s="91"/>
      <c r="AF45" s="91"/>
      <c r="AG45" s="91"/>
      <c r="AH45" s="91"/>
      <c r="AI45" s="124"/>
      <c r="AJ45" s="124"/>
      <c r="AK45" s="124"/>
      <c r="AL45" s="124"/>
      <c r="AM45" s="124"/>
      <c r="AN45" s="124"/>
      <c r="AO45" s="124"/>
      <c r="AP45" s="124"/>
      <c r="AQ45" s="124"/>
      <c r="AR45" s="124"/>
      <c r="AS45" s="206"/>
    </row>
    <row r="46" spans="1:45" s="5" customFormat="1" ht="15.75">
      <c r="A46" s="207" t="str">
        <f>1!A50</f>
        <v>1.4</v>
      </c>
      <c r="B46" s="138" t="str">
        <f>1!B50</f>
        <v>Новое строительство, всего, в том числе:</v>
      </c>
      <c r="C46" s="137" t="str">
        <f>1!C50</f>
        <v>Г</v>
      </c>
      <c r="D46" s="137"/>
      <c r="E46" s="137"/>
      <c r="F46" s="137"/>
      <c r="G46" s="137"/>
      <c r="H46" s="139"/>
      <c r="I46" s="139">
        <f>I47+I49</f>
        <v>19.9770376152</v>
      </c>
      <c r="J46" s="140"/>
      <c r="K46" s="137"/>
      <c r="L46" s="459">
        <f>L47+L49</f>
        <v>20.1779536202</v>
      </c>
      <c r="M46" s="137"/>
      <c r="N46" s="137"/>
      <c r="O46" s="137"/>
      <c r="P46" s="139">
        <f aca="true" t="shared" si="25" ref="P46:U46">P47+P49</f>
        <v>19.9770376152</v>
      </c>
      <c r="Q46" s="139">
        <f t="shared" si="25"/>
        <v>19.9770376152</v>
      </c>
      <c r="R46" s="139">
        <f t="shared" si="25"/>
        <v>20.1779536202</v>
      </c>
      <c r="S46" s="139">
        <f t="shared" si="25"/>
        <v>20.1779536202</v>
      </c>
      <c r="T46" s="139">
        <f t="shared" si="25"/>
        <v>19.9770376152</v>
      </c>
      <c r="U46" s="139">
        <f t="shared" si="25"/>
        <v>20.1779536202</v>
      </c>
      <c r="V46" s="139"/>
      <c r="W46" s="139"/>
      <c r="X46" s="137"/>
      <c r="Y46" s="139">
        <f>Y47+Y49</f>
        <v>19.9770376152</v>
      </c>
      <c r="Z46" s="141"/>
      <c r="AA46" s="141"/>
      <c r="AB46" s="139">
        <f>AB47+AB49</f>
        <v>7.42196984</v>
      </c>
      <c r="AC46" s="139">
        <f>AC47+AC49</f>
        <v>12.555067775200001</v>
      </c>
      <c r="AD46" s="139">
        <f>AD47+AD49</f>
        <v>20.1779536202</v>
      </c>
      <c r="AE46" s="141"/>
      <c r="AF46" s="141"/>
      <c r="AG46" s="139">
        <f>AG47+AG49</f>
        <v>7.622885845</v>
      </c>
      <c r="AH46" s="139">
        <f>AH47+AH49</f>
        <v>12.555067775200001</v>
      </c>
      <c r="AI46" s="139">
        <f>AI47+AI49</f>
        <v>19.9770376152</v>
      </c>
      <c r="AJ46" s="141"/>
      <c r="AK46" s="141"/>
      <c r="AL46" s="139">
        <f>AL47+AL49</f>
        <v>7.42196984</v>
      </c>
      <c r="AM46" s="139">
        <f>AM47+AM49</f>
        <v>12.555067775200001</v>
      </c>
      <c r="AN46" s="139">
        <f>AN47+AN49</f>
        <v>20.1779536202</v>
      </c>
      <c r="AO46" s="141"/>
      <c r="AP46" s="141"/>
      <c r="AQ46" s="139">
        <f>AQ47+AQ49</f>
        <v>7.622885845</v>
      </c>
      <c r="AR46" s="139">
        <f>AR47+AR49</f>
        <v>12.555067775200001</v>
      </c>
      <c r="AS46" s="208"/>
    </row>
    <row r="47" spans="1:45" s="5" customFormat="1" ht="47.25">
      <c r="A47" s="207" t="str">
        <f>1!A51</f>
        <v>1.4.1</v>
      </c>
      <c r="B47" s="138" t="str">
        <f>1!B51</f>
        <v>Прочее новое строительство объектов электросетевого хозяйства</v>
      </c>
      <c r="C47" s="120"/>
      <c r="D47" s="91" t="s">
        <v>268</v>
      </c>
      <c r="E47" s="91">
        <v>2017</v>
      </c>
      <c r="F47" s="91">
        <v>2017</v>
      </c>
      <c r="G47" s="137"/>
      <c r="H47" s="121" t="s">
        <v>368</v>
      </c>
      <c r="I47" s="141">
        <f>I48</f>
        <v>7.42196984</v>
      </c>
      <c r="J47" s="123"/>
      <c r="K47" s="137"/>
      <c r="L47" s="141">
        <f>L48</f>
        <v>7.622885845</v>
      </c>
      <c r="M47" s="123"/>
      <c r="N47" s="137"/>
      <c r="O47" s="137"/>
      <c r="P47" s="141">
        <f aca="true" t="shared" si="26" ref="P47:U47">P48</f>
        <v>7.42196984</v>
      </c>
      <c r="Q47" s="141">
        <f t="shared" si="26"/>
        <v>7.42196984</v>
      </c>
      <c r="R47" s="141">
        <f t="shared" si="26"/>
        <v>7.622885845</v>
      </c>
      <c r="S47" s="141">
        <f t="shared" si="26"/>
        <v>7.622885845</v>
      </c>
      <c r="T47" s="139">
        <f t="shared" si="26"/>
        <v>7.42196984</v>
      </c>
      <c r="U47" s="139">
        <f t="shared" si="26"/>
        <v>7.622885845</v>
      </c>
      <c r="V47" s="139"/>
      <c r="W47" s="139"/>
      <c r="X47" s="137"/>
      <c r="Y47" s="141">
        <f>Z47+AA47+AB47+AC47</f>
        <v>7.42196984</v>
      </c>
      <c r="Z47" s="378"/>
      <c r="AA47" s="378"/>
      <c r="AB47" s="141">
        <f>I47</f>
        <v>7.42196984</v>
      </c>
      <c r="AC47" s="137"/>
      <c r="AD47" s="141">
        <f>AE47+AF47+AG47+AH47</f>
        <v>7.622885845</v>
      </c>
      <c r="AE47" s="141"/>
      <c r="AF47" s="141"/>
      <c r="AG47" s="141">
        <f>S47</f>
        <v>7.622885845</v>
      </c>
      <c r="AH47" s="137"/>
      <c r="AI47" s="141">
        <f>AJ47+AK47+AL47+AM47</f>
        <v>7.42196984</v>
      </c>
      <c r="AJ47" s="378"/>
      <c r="AK47" s="378"/>
      <c r="AL47" s="141">
        <f t="shared" si="24"/>
        <v>7.42196984</v>
      </c>
      <c r="AM47" s="141"/>
      <c r="AN47" s="141">
        <f>AO47+AP47+AQ47+AR47</f>
        <v>7.622885845</v>
      </c>
      <c r="AO47" s="141"/>
      <c r="AP47" s="141"/>
      <c r="AQ47" s="141">
        <f>AG47</f>
        <v>7.622885845</v>
      </c>
      <c r="AR47" s="141"/>
      <c r="AS47" s="206" t="s">
        <v>247</v>
      </c>
    </row>
    <row r="48" spans="1:45" s="2" customFormat="1" ht="47.25">
      <c r="A48" s="205" t="str">
        <f>1!A52</f>
        <v>1.4.1.1</v>
      </c>
      <c r="B48" s="120" t="str">
        <f>1!B52</f>
        <v>Строительство КЛ-10 кВ, Ф-187(С-2) от ПС"Машук" до ТП-187, п.Иноземцево , L=2,244 км (ААБлУ 3х240)</v>
      </c>
      <c r="C48" s="393" t="str">
        <f>1!C52</f>
        <v>G_Gelezno_013</v>
      </c>
      <c r="D48" s="91" t="s">
        <v>268</v>
      </c>
      <c r="E48" s="91">
        <v>2017</v>
      </c>
      <c r="F48" s="91">
        <v>2017</v>
      </c>
      <c r="G48" s="91"/>
      <c r="H48" s="121" t="s">
        <v>368</v>
      </c>
      <c r="I48" s="121">
        <v>7.42196984</v>
      </c>
      <c r="J48" s="123">
        <v>42739</v>
      </c>
      <c r="K48" s="91"/>
      <c r="L48" s="124">
        <f>(6.29058122+0.16949153)*1.18</f>
        <v>7.622885845</v>
      </c>
      <c r="M48" s="123">
        <f>J48</f>
        <v>42739</v>
      </c>
      <c r="N48" s="91"/>
      <c r="O48" s="91"/>
      <c r="P48" s="124">
        <f>I48</f>
        <v>7.42196984</v>
      </c>
      <c r="Q48" s="124">
        <f>I48</f>
        <v>7.42196984</v>
      </c>
      <c r="R48" s="124">
        <f>L48</f>
        <v>7.622885845</v>
      </c>
      <c r="S48" s="124">
        <f>L48</f>
        <v>7.622885845</v>
      </c>
      <c r="T48" s="121">
        <f>I48</f>
        <v>7.42196984</v>
      </c>
      <c r="U48" s="124">
        <f>L48</f>
        <v>7.622885845</v>
      </c>
      <c r="V48" s="124"/>
      <c r="W48" s="124"/>
      <c r="X48" s="91"/>
      <c r="Y48" s="124">
        <f>Z48+AA48+AB48+AC48</f>
        <v>7.42196984</v>
      </c>
      <c r="Z48" s="124"/>
      <c r="AA48" s="124"/>
      <c r="AB48" s="124">
        <f>I48</f>
        <v>7.42196984</v>
      </c>
      <c r="AC48" s="91"/>
      <c r="AD48" s="124">
        <f>AE48+AF48+AG48+AH48</f>
        <v>7.622885845</v>
      </c>
      <c r="AE48" s="377"/>
      <c r="AF48" s="377"/>
      <c r="AG48" s="124">
        <f>L48</f>
        <v>7.622885845</v>
      </c>
      <c r="AH48" s="91"/>
      <c r="AI48" s="124">
        <f>AJ48+AK48+AL48+AM48</f>
        <v>7.42196984</v>
      </c>
      <c r="AJ48" s="124"/>
      <c r="AK48" s="124"/>
      <c r="AL48" s="124">
        <f t="shared" si="24"/>
        <v>7.42196984</v>
      </c>
      <c r="AM48" s="124"/>
      <c r="AN48" s="124">
        <f>AO48+AP48+AQ48+AR48</f>
        <v>7.622885845</v>
      </c>
      <c r="AO48" s="377"/>
      <c r="AP48" s="377"/>
      <c r="AQ48" s="124">
        <f>AG48</f>
        <v>7.622885845</v>
      </c>
      <c r="AR48" s="124"/>
      <c r="AS48" s="206" t="s">
        <v>247</v>
      </c>
    </row>
    <row r="49" spans="1:45" s="2" customFormat="1" ht="47.25">
      <c r="A49" s="207" t="str">
        <f>1!A53</f>
        <v>1.4.2</v>
      </c>
      <c r="B49" s="138" t="str">
        <f>1!B53</f>
        <v>Прочее новое строительство, в счёт тех.присоединений</v>
      </c>
      <c r="C49" s="477"/>
      <c r="D49" s="91"/>
      <c r="E49" s="91"/>
      <c r="F49" s="91"/>
      <c r="G49" s="91"/>
      <c r="H49" s="121"/>
      <c r="I49" s="458">
        <f>SUM(I50:I86)</f>
        <v>12.555067775200001</v>
      </c>
      <c r="J49" s="123"/>
      <c r="K49" s="91"/>
      <c r="L49" s="458">
        <f>SUM(L50:L86)</f>
        <v>12.555067775200001</v>
      </c>
      <c r="M49" s="123"/>
      <c r="N49" s="91"/>
      <c r="O49" s="91"/>
      <c r="P49" s="139">
        <f aca="true" t="shared" si="27" ref="P49:U49">SUM(P50:P86)</f>
        <v>12.555067775200001</v>
      </c>
      <c r="Q49" s="139">
        <f t="shared" si="27"/>
        <v>12.555067775200001</v>
      </c>
      <c r="R49" s="139">
        <f t="shared" si="27"/>
        <v>12.555067775200001</v>
      </c>
      <c r="S49" s="139">
        <f t="shared" si="27"/>
        <v>12.555067775200001</v>
      </c>
      <c r="T49" s="139">
        <f t="shared" si="27"/>
        <v>12.555067775200001</v>
      </c>
      <c r="U49" s="139">
        <f t="shared" si="27"/>
        <v>12.555067775200001</v>
      </c>
      <c r="V49" s="124"/>
      <c r="W49" s="124"/>
      <c r="X49" s="91"/>
      <c r="Y49" s="139">
        <f>SUM(Y50:Y86)</f>
        <v>12.555067775200001</v>
      </c>
      <c r="Z49" s="124"/>
      <c r="AA49" s="124"/>
      <c r="AB49" s="139"/>
      <c r="AC49" s="139">
        <f>SUM(AC50:AC86)</f>
        <v>12.555067775200001</v>
      </c>
      <c r="AD49" s="139">
        <f>SUM(AD50:AD86)</f>
        <v>12.555067775200001</v>
      </c>
      <c r="AE49" s="377"/>
      <c r="AF49" s="377"/>
      <c r="AG49" s="139"/>
      <c r="AH49" s="139">
        <f>SUM(AH50:AH86)</f>
        <v>12.555067775200001</v>
      </c>
      <c r="AI49" s="139">
        <f>SUM(AI50:AI86)</f>
        <v>12.555067775200001</v>
      </c>
      <c r="AJ49" s="124"/>
      <c r="AK49" s="124"/>
      <c r="AL49" s="139"/>
      <c r="AM49" s="139">
        <f>SUM(AM50:AM86)</f>
        <v>12.555067775200001</v>
      </c>
      <c r="AN49" s="139">
        <f>SUM(AN50:AN86)</f>
        <v>12.555067775200001</v>
      </c>
      <c r="AO49" s="377"/>
      <c r="AP49" s="377"/>
      <c r="AQ49" s="139"/>
      <c r="AR49" s="139">
        <f>SUM(AR50:AR86)</f>
        <v>12.555067775200001</v>
      </c>
      <c r="AS49" s="206" t="s">
        <v>247</v>
      </c>
    </row>
    <row r="50" spans="1:45" s="2" customFormat="1" ht="47.25">
      <c r="A50" s="205" t="str">
        <f>1!A54</f>
        <v>1.4.2.1</v>
      </c>
      <c r="B50" s="120" t="str">
        <f>1!B54</f>
        <v>Строительство ВЛ-0,4 кВ от РУ-0,4 кВ ТП-185 до ВРУ офисного здания ул.Пушкина,2А, п.Иноземцево, L=0,235 км (СИП-2 3х50+1х54)</v>
      </c>
      <c r="C50" s="502" t="str">
        <f>1!C54</f>
        <v>G_Gelezno_ТР1</v>
      </c>
      <c r="D50" s="91" t="s">
        <v>268</v>
      </c>
      <c r="E50" s="91">
        <v>2017</v>
      </c>
      <c r="F50" s="91">
        <v>2017</v>
      </c>
      <c r="G50" s="91"/>
      <c r="H50" s="121" t="s">
        <v>368</v>
      </c>
      <c r="I50" s="121">
        <f aca="true" t="shared" si="28" ref="I50:I70">L50</f>
        <v>0.1894922824</v>
      </c>
      <c r="J50" s="123">
        <v>42738</v>
      </c>
      <c r="K50" s="91"/>
      <c r="L50" s="124">
        <f>0.16058668*1.18</f>
        <v>0.1894922824</v>
      </c>
      <c r="M50" s="123">
        <f aca="true" t="shared" si="29" ref="M50:M70">J50</f>
        <v>42738</v>
      </c>
      <c r="N50" s="91"/>
      <c r="O50" s="91"/>
      <c r="P50" s="124">
        <f aca="true" t="shared" si="30" ref="P50:P70">I50</f>
        <v>0.1894922824</v>
      </c>
      <c r="Q50" s="124">
        <f aca="true" t="shared" si="31" ref="Q50:Q70">I50</f>
        <v>0.1894922824</v>
      </c>
      <c r="R50" s="124">
        <f>L50</f>
        <v>0.1894922824</v>
      </c>
      <c r="S50" s="124">
        <f>L50</f>
        <v>0.1894922824</v>
      </c>
      <c r="T50" s="121">
        <f aca="true" t="shared" si="32" ref="T50:T70">I50</f>
        <v>0.1894922824</v>
      </c>
      <c r="U50" s="124">
        <f aca="true" t="shared" si="33" ref="U50:U70">L50</f>
        <v>0.1894922824</v>
      </c>
      <c r="V50" s="124"/>
      <c r="W50" s="124"/>
      <c r="X50" s="91"/>
      <c r="Y50" s="124">
        <f aca="true" t="shared" si="34" ref="Y50:Y70">I50</f>
        <v>0.1894922824</v>
      </c>
      <c r="Z50" s="124"/>
      <c r="AA50" s="124"/>
      <c r="AB50" s="124"/>
      <c r="AC50" s="121">
        <f>I50</f>
        <v>0.1894922824</v>
      </c>
      <c r="AD50" s="124">
        <f aca="true" t="shared" si="35" ref="AD50:AD70">AE50+AF50+AG50+AH50</f>
        <v>0.1894922824</v>
      </c>
      <c r="AE50" s="377"/>
      <c r="AF50" s="377"/>
      <c r="AG50" s="124"/>
      <c r="AH50" s="124">
        <f>L50</f>
        <v>0.1894922824</v>
      </c>
      <c r="AI50" s="124">
        <f aca="true" t="shared" si="36" ref="AI50:AI70">I50</f>
        <v>0.1894922824</v>
      </c>
      <c r="AJ50" s="124"/>
      <c r="AK50" s="124"/>
      <c r="AL50" s="124"/>
      <c r="AM50" s="124">
        <f>I50</f>
        <v>0.1894922824</v>
      </c>
      <c r="AN50" s="124">
        <f aca="true" t="shared" si="37" ref="AN50:AN70">L50</f>
        <v>0.1894922824</v>
      </c>
      <c r="AO50" s="377"/>
      <c r="AP50" s="377"/>
      <c r="AQ50" s="124"/>
      <c r="AR50" s="124">
        <f>L50</f>
        <v>0.1894922824</v>
      </c>
      <c r="AS50" s="206" t="s">
        <v>247</v>
      </c>
    </row>
    <row r="51" spans="1:45" s="2" customFormat="1" ht="47.25">
      <c r="A51" s="205" t="str">
        <f>1!A55</f>
        <v>1.4.2.2</v>
      </c>
      <c r="B51" s="120" t="str">
        <f>1!B55</f>
        <v>Строительство КЛ-0,4 кВ от РУ-0,4 кВ ТП-18 (С1) до ВРУ МКЖД ул.Косякина (район дома № 49), г.Железноводск, (Линия 1), L=0,143 км (ААБл 4х120)</v>
      </c>
      <c r="C51" s="502" t="str">
        <f>1!C55</f>
        <v>G_Gelezno_ТР2</v>
      </c>
      <c r="D51" s="91" t="s">
        <v>268</v>
      </c>
      <c r="E51" s="91">
        <v>2017</v>
      </c>
      <c r="F51" s="91">
        <v>2017</v>
      </c>
      <c r="G51" s="91"/>
      <c r="H51" s="121" t="s">
        <v>368</v>
      </c>
      <c r="I51" s="121">
        <f t="shared" si="28"/>
        <v>0.1978808434</v>
      </c>
      <c r="J51" s="123">
        <v>42739</v>
      </c>
      <c r="K51" s="91"/>
      <c r="L51" s="124">
        <f>0.16769563*1.18</f>
        <v>0.1978808434</v>
      </c>
      <c r="M51" s="123">
        <f t="shared" si="29"/>
        <v>42739</v>
      </c>
      <c r="N51" s="91"/>
      <c r="O51" s="91"/>
      <c r="P51" s="124">
        <f t="shared" si="30"/>
        <v>0.1978808434</v>
      </c>
      <c r="Q51" s="124">
        <f t="shared" si="31"/>
        <v>0.1978808434</v>
      </c>
      <c r="R51" s="124">
        <f aca="true" t="shared" si="38" ref="R51:R70">L51</f>
        <v>0.1978808434</v>
      </c>
      <c r="S51" s="124">
        <f aca="true" t="shared" si="39" ref="S51:S70">L51</f>
        <v>0.1978808434</v>
      </c>
      <c r="T51" s="121">
        <f t="shared" si="32"/>
        <v>0.1978808434</v>
      </c>
      <c r="U51" s="124">
        <f t="shared" si="33"/>
        <v>0.1978808434</v>
      </c>
      <c r="V51" s="124"/>
      <c r="W51" s="124"/>
      <c r="X51" s="91"/>
      <c r="Y51" s="124">
        <f t="shared" si="34"/>
        <v>0.1978808434</v>
      </c>
      <c r="Z51" s="124"/>
      <c r="AA51" s="124"/>
      <c r="AB51" s="124"/>
      <c r="AC51" s="121">
        <f aca="true" t="shared" si="40" ref="AC51:AC86">I51</f>
        <v>0.1978808434</v>
      </c>
      <c r="AD51" s="124">
        <f t="shared" si="35"/>
        <v>0.1978808434</v>
      </c>
      <c r="AE51" s="377"/>
      <c r="AF51" s="377"/>
      <c r="AG51" s="124"/>
      <c r="AH51" s="124">
        <f aca="true" t="shared" si="41" ref="AH51:AH86">L51</f>
        <v>0.1978808434</v>
      </c>
      <c r="AI51" s="124">
        <f t="shared" si="36"/>
        <v>0.1978808434</v>
      </c>
      <c r="AJ51" s="124"/>
      <c r="AK51" s="124"/>
      <c r="AL51" s="124"/>
      <c r="AM51" s="124">
        <f aca="true" t="shared" si="42" ref="AM51:AM86">I51</f>
        <v>0.1978808434</v>
      </c>
      <c r="AN51" s="124">
        <f t="shared" si="37"/>
        <v>0.1978808434</v>
      </c>
      <c r="AO51" s="377"/>
      <c r="AP51" s="377"/>
      <c r="AQ51" s="124"/>
      <c r="AR51" s="124">
        <f aca="true" t="shared" si="43" ref="AR51:AR86">L51</f>
        <v>0.1978808434</v>
      </c>
      <c r="AS51" s="206" t="s">
        <v>247</v>
      </c>
    </row>
    <row r="52" spans="1:45" s="2" customFormat="1" ht="47.25">
      <c r="A52" s="205" t="str">
        <f>1!A56</f>
        <v>1.4.2.3</v>
      </c>
      <c r="B52" s="120" t="str">
        <f>1!B56</f>
        <v>Строительство КЛ-0,4 кВ от РУ-0,4 кВ ТП-18 (С2) до ВРУ МКЖД ул.Косякина (район дома № 49), г.Железноводск, (Линия 2), L=0,143 км (ААБл 4х120)</v>
      </c>
      <c r="C52" s="502" t="str">
        <f>1!C56</f>
        <v>G_Gelezno_ТР3</v>
      </c>
      <c r="D52" s="91" t="s">
        <v>268</v>
      </c>
      <c r="E52" s="91">
        <v>2017</v>
      </c>
      <c r="F52" s="91">
        <v>2017</v>
      </c>
      <c r="G52" s="91"/>
      <c r="H52" s="121" t="s">
        <v>368</v>
      </c>
      <c r="I52" s="121">
        <f t="shared" si="28"/>
        <v>0.1763001656</v>
      </c>
      <c r="J52" s="123">
        <v>42739</v>
      </c>
      <c r="K52" s="91"/>
      <c r="L52" s="124">
        <f>0.14940692*1.18</f>
        <v>0.1763001656</v>
      </c>
      <c r="M52" s="123">
        <f t="shared" si="29"/>
        <v>42739</v>
      </c>
      <c r="N52" s="91"/>
      <c r="O52" s="91"/>
      <c r="P52" s="124">
        <f t="shared" si="30"/>
        <v>0.1763001656</v>
      </c>
      <c r="Q52" s="124">
        <f t="shared" si="31"/>
        <v>0.1763001656</v>
      </c>
      <c r="R52" s="124">
        <f t="shared" si="38"/>
        <v>0.1763001656</v>
      </c>
      <c r="S52" s="124">
        <f t="shared" si="39"/>
        <v>0.1763001656</v>
      </c>
      <c r="T52" s="121">
        <f t="shared" si="32"/>
        <v>0.1763001656</v>
      </c>
      <c r="U52" s="124">
        <f t="shared" si="33"/>
        <v>0.1763001656</v>
      </c>
      <c r="V52" s="124"/>
      <c r="W52" s="124"/>
      <c r="X52" s="91"/>
      <c r="Y52" s="124">
        <f t="shared" si="34"/>
        <v>0.1763001656</v>
      </c>
      <c r="Z52" s="124"/>
      <c r="AA52" s="124"/>
      <c r="AB52" s="124"/>
      <c r="AC52" s="121">
        <f t="shared" si="40"/>
        <v>0.1763001656</v>
      </c>
      <c r="AD52" s="124">
        <f t="shared" si="35"/>
        <v>0.1763001656</v>
      </c>
      <c r="AE52" s="377"/>
      <c r="AF52" s="377"/>
      <c r="AG52" s="124"/>
      <c r="AH52" s="124">
        <f t="shared" si="41"/>
        <v>0.1763001656</v>
      </c>
      <c r="AI52" s="124">
        <f t="shared" si="36"/>
        <v>0.1763001656</v>
      </c>
      <c r="AJ52" s="124"/>
      <c r="AK52" s="124"/>
      <c r="AL52" s="124"/>
      <c r="AM52" s="124">
        <f t="shared" si="42"/>
        <v>0.1763001656</v>
      </c>
      <c r="AN52" s="124">
        <f t="shared" si="37"/>
        <v>0.1763001656</v>
      </c>
      <c r="AO52" s="377"/>
      <c r="AP52" s="377"/>
      <c r="AQ52" s="124"/>
      <c r="AR52" s="124">
        <f t="shared" si="43"/>
        <v>0.1763001656</v>
      </c>
      <c r="AS52" s="206" t="s">
        <v>247</v>
      </c>
    </row>
    <row r="53" spans="1:45" s="2" customFormat="1" ht="47.25">
      <c r="A53" s="205" t="str">
        <f>1!A57</f>
        <v>1.4.2.4</v>
      </c>
      <c r="B53" s="120" t="str">
        <f>1!B57</f>
        <v>Строительство КТП-247 в районе озера "Карас", п.Иноземцево (250 кВА)</v>
      </c>
      <c r="C53" s="502" t="str">
        <f>1!C57</f>
        <v>G_Gelezno_ТР4</v>
      </c>
      <c r="D53" s="91" t="s">
        <v>268</v>
      </c>
      <c r="E53" s="91">
        <v>2017</v>
      </c>
      <c r="F53" s="91">
        <v>2017</v>
      </c>
      <c r="G53" s="91"/>
      <c r="H53" s="121" t="s">
        <v>368</v>
      </c>
      <c r="I53" s="121">
        <f t="shared" si="28"/>
        <v>0.9733345522</v>
      </c>
      <c r="J53" s="123">
        <v>42739</v>
      </c>
      <c r="K53" s="91"/>
      <c r="L53" s="124">
        <f>0.82485979*1.18</f>
        <v>0.9733345522</v>
      </c>
      <c r="M53" s="123">
        <f t="shared" si="29"/>
        <v>42739</v>
      </c>
      <c r="N53" s="91"/>
      <c r="O53" s="91"/>
      <c r="P53" s="124">
        <f t="shared" si="30"/>
        <v>0.9733345522</v>
      </c>
      <c r="Q53" s="124">
        <f t="shared" si="31"/>
        <v>0.9733345522</v>
      </c>
      <c r="R53" s="124">
        <f t="shared" si="38"/>
        <v>0.9733345522</v>
      </c>
      <c r="S53" s="124">
        <f t="shared" si="39"/>
        <v>0.9733345522</v>
      </c>
      <c r="T53" s="121">
        <f t="shared" si="32"/>
        <v>0.9733345522</v>
      </c>
      <c r="U53" s="124">
        <f t="shared" si="33"/>
        <v>0.9733345522</v>
      </c>
      <c r="V53" s="124"/>
      <c r="W53" s="124"/>
      <c r="X53" s="91"/>
      <c r="Y53" s="124">
        <f t="shared" si="34"/>
        <v>0.9733345522</v>
      </c>
      <c r="Z53" s="124"/>
      <c r="AA53" s="124"/>
      <c r="AB53" s="124"/>
      <c r="AC53" s="121">
        <f t="shared" si="40"/>
        <v>0.9733345522</v>
      </c>
      <c r="AD53" s="124">
        <f t="shared" si="35"/>
        <v>0.9733345522</v>
      </c>
      <c r="AE53" s="377"/>
      <c r="AF53" s="377"/>
      <c r="AG53" s="124"/>
      <c r="AH53" s="124">
        <f t="shared" si="41"/>
        <v>0.9733345522</v>
      </c>
      <c r="AI53" s="124">
        <f t="shared" si="36"/>
        <v>0.9733345522</v>
      </c>
      <c r="AJ53" s="124"/>
      <c r="AK53" s="124"/>
      <c r="AL53" s="124"/>
      <c r="AM53" s="124">
        <f t="shared" si="42"/>
        <v>0.9733345522</v>
      </c>
      <c r="AN53" s="124">
        <f t="shared" si="37"/>
        <v>0.9733345522</v>
      </c>
      <c r="AO53" s="377"/>
      <c r="AP53" s="377"/>
      <c r="AQ53" s="124"/>
      <c r="AR53" s="124">
        <f t="shared" si="43"/>
        <v>0.9733345522</v>
      </c>
      <c r="AS53" s="206" t="s">
        <v>247</v>
      </c>
    </row>
    <row r="54" spans="1:45" s="2" customFormat="1" ht="47.25">
      <c r="A54" s="205" t="str">
        <f>1!A58</f>
        <v>1.4.2.5</v>
      </c>
      <c r="B54" s="120"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54" s="502" t="str">
        <f>1!C58</f>
        <v>G_Gelezno_ТР5</v>
      </c>
      <c r="D54" s="91" t="s">
        <v>268</v>
      </c>
      <c r="E54" s="91">
        <v>2017</v>
      </c>
      <c r="F54" s="91">
        <v>2017</v>
      </c>
      <c r="G54" s="91"/>
      <c r="H54" s="121" t="s">
        <v>368</v>
      </c>
      <c r="I54" s="121">
        <f t="shared" si="28"/>
        <v>0.0999055968</v>
      </c>
      <c r="J54" s="123">
        <v>42739</v>
      </c>
      <c r="K54" s="91"/>
      <c r="L54" s="124">
        <f>0.08466576*1.18</f>
        <v>0.0999055968</v>
      </c>
      <c r="M54" s="123">
        <f t="shared" si="29"/>
        <v>42739</v>
      </c>
      <c r="N54" s="91"/>
      <c r="O54" s="91"/>
      <c r="P54" s="124">
        <f t="shared" si="30"/>
        <v>0.0999055968</v>
      </c>
      <c r="Q54" s="124">
        <f t="shared" si="31"/>
        <v>0.0999055968</v>
      </c>
      <c r="R54" s="124">
        <f t="shared" si="38"/>
        <v>0.0999055968</v>
      </c>
      <c r="S54" s="124">
        <f t="shared" si="39"/>
        <v>0.0999055968</v>
      </c>
      <c r="T54" s="121">
        <f t="shared" si="32"/>
        <v>0.0999055968</v>
      </c>
      <c r="U54" s="124">
        <f t="shared" si="33"/>
        <v>0.0999055968</v>
      </c>
      <c r="V54" s="124"/>
      <c r="W54" s="124"/>
      <c r="X54" s="91"/>
      <c r="Y54" s="124">
        <f t="shared" si="34"/>
        <v>0.0999055968</v>
      </c>
      <c r="Z54" s="124"/>
      <c r="AA54" s="124"/>
      <c r="AB54" s="124"/>
      <c r="AC54" s="121">
        <f t="shared" si="40"/>
        <v>0.0999055968</v>
      </c>
      <c r="AD54" s="124">
        <f t="shared" si="35"/>
        <v>0.0999055968</v>
      </c>
      <c r="AE54" s="377"/>
      <c r="AF54" s="377"/>
      <c r="AG54" s="124"/>
      <c r="AH54" s="124">
        <f t="shared" si="41"/>
        <v>0.0999055968</v>
      </c>
      <c r="AI54" s="124">
        <f t="shared" si="36"/>
        <v>0.0999055968</v>
      </c>
      <c r="AJ54" s="124"/>
      <c r="AK54" s="124"/>
      <c r="AL54" s="124"/>
      <c r="AM54" s="124">
        <f t="shared" si="42"/>
        <v>0.0999055968</v>
      </c>
      <c r="AN54" s="124">
        <f t="shared" si="37"/>
        <v>0.0999055968</v>
      </c>
      <c r="AO54" s="377"/>
      <c r="AP54" s="377"/>
      <c r="AQ54" s="124"/>
      <c r="AR54" s="124">
        <f t="shared" si="43"/>
        <v>0.0999055968</v>
      </c>
      <c r="AS54" s="206" t="s">
        <v>247</v>
      </c>
    </row>
    <row r="55" spans="1:45" s="2" customFormat="1" ht="47.25">
      <c r="A55" s="205" t="str">
        <f>1!A59</f>
        <v>1.4.2.6</v>
      </c>
      <c r="B55" s="120" t="str">
        <f>1!B59</f>
        <v>Строительство КЛ-10 кВ от РУ-10 кВ КТП-224 до КТП-247, п.Иноземцево, L=0,918 км (АСБ 3х120)</v>
      </c>
      <c r="C55" s="502" t="str">
        <f>1!C59</f>
        <v>G_Gelezno_ТР6</v>
      </c>
      <c r="D55" s="91" t="s">
        <v>268</v>
      </c>
      <c r="E55" s="91">
        <v>2017</v>
      </c>
      <c r="F55" s="91">
        <v>2017</v>
      </c>
      <c r="G55" s="91"/>
      <c r="H55" s="121" t="s">
        <v>368</v>
      </c>
      <c r="I55" s="121">
        <f t="shared" si="28"/>
        <v>2.3962422958</v>
      </c>
      <c r="J55" s="123">
        <v>42739</v>
      </c>
      <c r="K55" s="91"/>
      <c r="L55" s="124">
        <f>2.03071381*1.18</f>
        <v>2.3962422958</v>
      </c>
      <c r="M55" s="123">
        <f t="shared" si="29"/>
        <v>42739</v>
      </c>
      <c r="N55" s="91"/>
      <c r="O55" s="91"/>
      <c r="P55" s="124">
        <f t="shared" si="30"/>
        <v>2.3962422958</v>
      </c>
      <c r="Q55" s="124">
        <f t="shared" si="31"/>
        <v>2.3962422958</v>
      </c>
      <c r="R55" s="124">
        <f t="shared" si="38"/>
        <v>2.3962422958</v>
      </c>
      <c r="S55" s="124">
        <f t="shared" si="39"/>
        <v>2.3962422958</v>
      </c>
      <c r="T55" s="121">
        <f t="shared" si="32"/>
        <v>2.3962422958</v>
      </c>
      <c r="U55" s="124">
        <f t="shared" si="33"/>
        <v>2.3962422958</v>
      </c>
      <c r="V55" s="124"/>
      <c r="W55" s="124"/>
      <c r="X55" s="91"/>
      <c r="Y55" s="124">
        <f t="shared" si="34"/>
        <v>2.3962422958</v>
      </c>
      <c r="Z55" s="124"/>
      <c r="AA55" s="124"/>
      <c r="AB55" s="124"/>
      <c r="AC55" s="121">
        <f t="shared" si="40"/>
        <v>2.3962422958</v>
      </c>
      <c r="AD55" s="124">
        <f t="shared" si="35"/>
        <v>2.3962422958</v>
      </c>
      <c r="AE55" s="377"/>
      <c r="AF55" s="377"/>
      <c r="AG55" s="124"/>
      <c r="AH55" s="124">
        <f t="shared" si="41"/>
        <v>2.3962422958</v>
      </c>
      <c r="AI55" s="124">
        <f t="shared" si="36"/>
        <v>2.3962422958</v>
      </c>
      <c r="AJ55" s="124"/>
      <c r="AK55" s="124"/>
      <c r="AL55" s="124"/>
      <c r="AM55" s="124">
        <f t="shared" si="42"/>
        <v>2.3962422958</v>
      </c>
      <c r="AN55" s="124">
        <f t="shared" si="37"/>
        <v>2.3962422958</v>
      </c>
      <c r="AO55" s="377"/>
      <c r="AP55" s="377"/>
      <c r="AQ55" s="124"/>
      <c r="AR55" s="124">
        <f t="shared" si="43"/>
        <v>2.3962422958</v>
      </c>
      <c r="AS55" s="206" t="s">
        <v>247</v>
      </c>
    </row>
    <row r="56" spans="1:45" s="2" customFormat="1" ht="47.25">
      <c r="A56" s="205" t="str">
        <f>1!A60</f>
        <v>1.4.2.7</v>
      </c>
      <c r="B56" s="120" t="str">
        <f>1!B60</f>
        <v>Строительство КЛ-0,4 кВ от РУ-0,4 кВ ТП-50 (С-1) до ВРУ МКЖД по ул.Ленина,49(линия 1), г.Железноводск, L=0,061 км (АВБбШв 4х240)</v>
      </c>
      <c r="C56" s="502" t="str">
        <f>1!C60</f>
        <v>G_Gelezno_ТР7</v>
      </c>
      <c r="D56" s="91" t="s">
        <v>268</v>
      </c>
      <c r="E56" s="91">
        <v>2017</v>
      </c>
      <c r="F56" s="91">
        <v>2017</v>
      </c>
      <c r="G56" s="91"/>
      <c r="H56" s="121" t="s">
        <v>368</v>
      </c>
      <c r="I56" s="121">
        <f t="shared" si="28"/>
        <v>0.16625404679999997</v>
      </c>
      <c r="J56" s="123">
        <v>42739</v>
      </c>
      <c r="K56" s="91"/>
      <c r="L56" s="124">
        <f>0.14089326*1.18</f>
        <v>0.16625404679999997</v>
      </c>
      <c r="M56" s="123">
        <f t="shared" si="29"/>
        <v>42739</v>
      </c>
      <c r="N56" s="91"/>
      <c r="O56" s="91"/>
      <c r="P56" s="124">
        <f t="shared" si="30"/>
        <v>0.16625404679999997</v>
      </c>
      <c r="Q56" s="124">
        <f t="shared" si="31"/>
        <v>0.16625404679999997</v>
      </c>
      <c r="R56" s="124">
        <f t="shared" si="38"/>
        <v>0.16625404679999997</v>
      </c>
      <c r="S56" s="124">
        <f t="shared" si="39"/>
        <v>0.16625404679999997</v>
      </c>
      <c r="T56" s="121">
        <f t="shared" si="32"/>
        <v>0.16625404679999997</v>
      </c>
      <c r="U56" s="124">
        <f t="shared" si="33"/>
        <v>0.16625404679999997</v>
      </c>
      <c r="V56" s="124"/>
      <c r="W56" s="124"/>
      <c r="X56" s="91"/>
      <c r="Y56" s="124">
        <f t="shared" si="34"/>
        <v>0.16625404679999997</v>
      </c>
      <c r="Z56" s="124"/>
      <c r="AA56" s="124"/>
      <c r="AB56" s="124"/>
      <c r="AC56" s="121">
        <f t="shared" si="40"/>
        <v>0.16625404679999997</v>
      </c>
      <c r="AD56" s="124">
        <f t="shared" si="35"/>
        <v>0.16625404679999997</v>
      </c>
      <c r="AE56" s="377"/>
      <c r="AF56" s="377"/>
      <c r="AG56" s="124"/>
      <c r="AH56" s="124">
        <f t="shared" si="41"/>
        <v>0.16625404679999997</v>
      </c>
      <c r="AI56" s="124">
        <f t="shared" si="36"/>
        <v>0.16625404679999997</v>
      </c>
      <c r="AJ56" s="124"/>
      <c r="AK56" s="124"/>
      <c r="AL56" s="124"/>
      <c r="AM56" s="124">
        <f t="shared" si="42"/>
        <v>0.16625404679999997</v>
      </c>
      <c r="AN56" s="124">
        <f t="shared" si="37"/>
        <v>0.16625404679999997</v>
      </c>
      <c r="AO56" s="377"/>
      <c r="AP56" s="377"/>
      <c r="AQ56" s="124"/>
      <c r="AR56" s="124">
        <f t="shared" si="43"/>
        <v>0.16625404679999997</v>
      </c>
      <c r="AS56" s="206" t="s">
        <v>247</v>
      </c>
    </row>
    <row r="57" spans="1:45" s="2" customFormat="1" ht="47.25">
      <c r="A57" s="205" t="str">
        <f>1!A61</f>
        <v>1.4.2.8</v>
      </c>
      <c r="B57" s="120" t="str">
        <f>1!B61</f>
        <v>Строительство КЛ-0,4 кВ от РУ-0,4 кВ ТП-50(С-2) до ВРУ МКЖД по ул.Ленина,49(линия 2), г.Железноводск, L=0,061 км (АВБбШв 4х240)</v>
      </c>
      <c r="C57" s="502" t="str">
        <f>1!C61</f>
        <v>G_Gelezno_ТР8</v>
      </c>
      <c r="D57" s="91" t="s">
        <v>268</v>
      </c>
      <c r="E57" s="91">
        <v>2017</v>
      </c>
      <c r="F57" s="91">
        <v>2017</v>
      </c>
      <c r="G57" s="91"/>
      <c r="H57" s="121" t="s">
        <v>368</v>
      </c>
      <c r="I57" s="121">
        <f t="shared" si="28"/>
        <v>0.13101367719999998</v>
      </c>
      <c r="J57" s="123">
        <v>42739</v>
      </c>
      <c r="K57" s="91"/>
      <c r="L57" s="124">
        <f>0.11102854*1.18</f>
        <v>0.13101367719999998</v>
      </c>
      <c r="M57" s="123">
        <f t="shared" si="29"/>
        <v>42739</v>
      </c>
      <c r="N57" s="91"/>
      <c r="O57" s="91"/>
      <c r="P57" s="124">
        <f t="shared" si="30"/>
        <v>0.13101367719999998</v>
      </c>
      <c r="Q57" s="124">
        <f t="shared" si="31"/>
        <v>0.13101367719999998</v>
      </c>
      <c r="R57" s="124">
        <f t="shared" si="38"/>
        <v>0.13101367719999998</v>
      </c>
      <c r="S57" s="124">
        <f t="shared" si="39"/>
        <v>0.13101367719999998</v>
      </c>
      <c r="T57" s="121">
        <f t="shared" si="32"/>
        <v>0.13101367719999998</v>
      </c>
      <c r="U57" s="124">
        <f t="shared" si="33"/>
        <v>0.13101367719999998</v>
      </c>
      <c r="V57" s="124"/>
      <c r="W57" s="124"/>
      <c r="X57" s="91"/>
      <c r="Y57" s="124">
        <f t="shared" si="34"/>
        <v>0.13101367719999998</v>
      </c>
      <c r="Z57" s="124"/>
      <c r="AA57" s="124"/>
      <c r="AB57" s="124"/>
      <c r="AC57" s="121">
        <f t="shared" si="40"/>
        <v>0.13101367719999998</v>
      </c>
      <c r="AD57" s="124">
        <f t="shared" si="35"/>
        <v>0.13101367719999998</v>
      </c>
      <c r="AE57" s="377"/>
      <c r="AF57" s="377"/>
      <c r="AG57" s="124"/>
      <c r="AH57" s="124">
        <f t="shared" si="41"/>
        <v>0.13101367719999998</v>
      </c>
      <c r="AI57" s="124">
        <f t="shared" si="36"/>
        <v>0.13101367719999998</v>
      </c>
      <c r="AJ57" s="124"/>
      <c r="AK57" s="124"/>
      <c r="AL57" s="124"/>
      <c r="AM57" s="124">
        <f t="shared" si="42"/>
        <v>0.13101367719999998</v>
      </c>
      <c r="AN57" s="124">
        <f t="shared" si="37"/>
        <v>0.13101367719999998</v>
      </c>
      <c r="AO57" s="377"/>
      <c r="AP57" s="377"/>
      <c r="AQ57" s="124"/>
      <c r="AR57" s="124">
        <f t="shared" si="43"/>
        <v>0.13101367719999998</v>
      </c>
      <c r="AS57" s="206" t="s">
        <v>247</v>
      </c>
    </row>
    <row r="58" spans="1:45" s="2" customFormat="1" ht="47.25">
      <c r="A58" s="205" t="str">
        <f>1!A62</f>
        <v>1.4.2.9</v>
      </c>
      <c r="B58" s="120" t="str">
        <f>1!B62</f>
        <v>Строительство КТП-105 ул.Октябрьская, 96 Б, п.Иноземцево (250 кВА)</v>
      </c>
      <c r="C58" s="502" t="str">
        <f>1!C62</f>
        <v>G_Gelezno_ТР9</v>
      </c>
      <c r="D58" s="91" t="s">
        <v>268</v>
      </c>
      <c r="E58" s="91">
        <v>2017</v>
      </c>
      <c r="F58" s="91">
        <v>2017</v>
      </c>
      <c r="G58" s="91"/>
      <c r="H58" s="121" t="s">
        <v>368</v>
      </c>
      <c r="I58" s="121">
        <f t="shared" si="28"/>
        <v>1.2286749174</v>
      </c>
      <c r="J58" s="123">
        <v>42739</v>
      </c>
      <c r="K58" s="91"/>
      <c r="L58" s="124">
        <f>1.04124993*1.18</f>
        <v>1.2286749174</v>
      </c>
      <c r="M58" s="123">
        <f t="shared" si="29"/>
        <v>42739</v>
      </c>
      <c r="N58" s="91"/>
      <c r="O58" s="91"/>
      <c r="P58" s="124">
        <f t="shared" si="30"/>
        <v>1.2286749174</v>
      </c>
      <c r="Q58" s="124">
        <f t="shared" si="31"/>
        <v>1.2286749174</v>
      </c>
      <c r="R58" s="124">
        <f t="shared" si="38"/>
        <v>1.2286749174</v>
      </c>
      <c r="S58" s="124">
        <f t="shared" si="39"/>
        <v>1.2286749174</v>
      </c>
      <c r="T58" s="121">
        <f t="shared" si="32"/>
        <v>1.2286749174</v>
      </c>
      <c r="U58" s="124">
        <f t="shared" si="33"/>
        <v>1.2286749174</v>
      </c>
      <c r="V58" s="124"/>
      <c r="W58" s="124"/>
      <c r="X58" s="91"/>
      <c r="Y58" s="124">
        <f t="shared" si="34"/>
        <v>1.2286749174</v>
      </c>
      <c r="Z58" s="124"/>
      <c r="AA58" s="124"/>
      <c r="AB58" s="124"/>
      <c r="AC58" s="121">
        <f t="shared" si="40"/>
        <v>1.2286749174</v>
      </c>
      <c r="AD58" s="124">
        <f t="shared" si="35"/>
        <v>1.2286749174</v>
      </c>
      <c r="AE58" s="377"/>
      <c r="AF58" s="377"/>
      <c r="AG58" s="124"/>
      <c r="AH58" s="124">
        <f t="shared" si="41"/>
        <v>1.2286749174</v>
      </c>
      <c r="AI58" s="124">
        <f t="shared" si="36"/>
        <v>1.2286749174</v>
      </c>
      <c r="AJ58" s="124"/>
      <c r="AK58" s="124"/>
      <c r="AL58" s="124"/>
      <c r="AM58" s="124">
        <f t="shared" si="42"/>
        <v>1.2286749174</v>
      </c>
      <c r="AN58" s="124">
        <f t="shared" si="37"/>
        <v>1.2286749174</v>
      </c>
      <c r="AO58" s="377"/>
      <c r="AP58" s="377"/>
      <c r="AQ58" s="124"/>
      <c r="AR58" s="124">
        <f t="shared" si="43"/>
        <v>1.2286749174</v>
      </c>
      <c r="AS58" s="206" t="s">
        <v>247</v>
      </c>
    </row>
    <row r="59" spans="1:45" s="2" customFormat="1" ht="47.25">
      <c r="A59" s="205" t="str">
        <f>1!A63</f>
        <v>1.4.2.10</v>
      </c>
      <c r="B59" s="120" t="str">
        <f>1!B63</f>
        <v>Строительство КЛ-0,4 кВ от РП-2 (С-1) до ВРУ тренировочной площадки стадииона "Спартак" ул.Калинина,3 (линия 1), г.Железноводск, L= 0,245 км (АВБбШв 4х240)</v>
      </c>
      <c r="C59" s="502" t="str">
        <f>1!C63</f>
        <v>G_Gelezno_ТР10</v>
      </c>
      <c r="D59" s="91" t="s">
        <v>268</v>
      </c>
      <c r="E59" s="91">
        <v>2017</v>
      </c>
      <c r="F59" s="91">
        <v>2017</v>
      </c>
      <c r="G59" s="91"/>
      <c r="H59" s="121" t="s">
        <v>368</v>
      </c>
      <c r="I59" s="121">
        <f t="shared" si="28"/>
        <v>0.44961452679999997</v>
      </c>
      <c r="J59" s="123">
        <v>42739</v>
      </c>
      <c r="K59" s="91"/>
      <c r="L59" s="124">
        <f>0.38102926*1.18</f>
        <v>0.44961452679999997</v>
      </c>
      <c r="M59" s="123">
        <f t="shared" si="29"/>
        <v>42739</v>
      </c>
      <c r="N59" s="91"/>
      <c r="O59" s="91"/>
      <c r="P59" s="124">
        <f t="shared" si="30"/>
        <v>0.44961452679999997</v>
      </c>
      <c r="Q59" s="124">
        <f t="shared" si="31"/>
        <v>0.44961452679999997</v>
      </c>
      <c r="R59" s="124">
        <f t="shared" si="38"/>
        <v>0.44961452679999997</v>
      </c>
      <c r="S59" s="124">
        <f t="shared" si="39"/>
        <v>0.44961452679999997</v>
      </c>
      <c r="T59" s="121">
        <f t="shared" si="32"/>
        <v>0.44961452679999997</v>
      </c>
      <c r="U59" s="124">
        <f t="shared" si="33"/>
        <v>0.44961452679999997</v>
      </c>
      <c r="V59" s="124"/>
      <c r="W59" s="124"/>
      <c r="X59" s="91"/>
      <c r="Y59" s="124">
        <f t="shared" si="34"/>
        <v>0.44961452679999997</v>
      </c>
      <c r="Z59" s="124"/>
      <c r="AA59" s="124"/>
      <c r="AB59" s="124"/>
      <c r="AC59" s="121">
        <f t="shared" si="40"/>
        <v>0.44961452679999997</v>
      </c>
      <c r="AD59" s="124">
        <f t="shared" si="35"/>
        <v>0.44961452679999997</v>
      </c>
      <c r="AE59" s="377"/>
      <c r="AF59" s="377"/>
      <c r="AG59" s="124"/>
      <c r="AH59" s="124">
        <f t="shared" si="41"/>
        <v>0.44961452679999997</v>
      </c>
      <c r="AI59" s="124">
        <f t="shared" si="36"/>
        <v>0.44961452679999997</v>
      </c>
      <c r="AJ59" s="124"/>
      <c r="AK59" s="124"/>
      <c r="AL59" s="124"/>
      <c r="AM59" s="124">
        <f t="shared" si="42"/>
        <v>0.44961452679999997</v>
      </c>
      <c r="AN59" s="124">
        <f t="shared" si="37"/>
        <v>0.44961452679999997</v>
      </c>
      <c r="AO59" s="377"/>
      <c r="AP59" s="377"/>
      <c r="AQ59" s="124"/>
      <c r="AR59" s="124">
        <f t="shared" si="43"/>
        <v>0.44961452679999997</v>
      </c>
      <c r="AS59" s="206" t="s">
        <v>247</v>
      </c>
    </row>
    <row r="60" spans="1:45" s="2" customFormat="1" ht="47.25">
      <c r="A60" s="205" t="str">
        <f>1!A64</f>
        <v>1.4.2.11</v>
      </c>
      <c r="B60" s="120" t="str">
        <f>1!B64</f>
        <v>Строительство КЛ-0,4 кВ от РП-2 (С-2) до ВРУ тренировочной площадки стадиона "Спартак" ул.Калинина,3 (линия 2), г.Железноводск, L= 0,245 км (АВБбШв 4х240)</v>
      </c>
      <c r="C60" s="502" t="str">
        <f>1!C64</f>
        <v>G_Gelezno_ТР11</v>
      </c>
      <c r="D60" s="91" t="s">
        <v>268</v>
      </c>
      <c r="E60" s="91">
        <v>2017</v>
      </c>
      <c r="F60" s="91">
        <v>2017</v>
      </c>
      <c r="G60" s="91"/>
      <c r="H60" s="121" t="s">
        <v>368</v>
      </c>
      <c r="I60" s="121">
        <f t="shared" si="28"/>
        <v>0.337243764</v>
      </c>
      <c r="J60" s="123">
        <v>42739</v>
      </c>
      <c r="K60" s="91"/>
      <c r="L60" s="124">
        <f>0.2857998*1.18</f>
        <v>0.337243764</v>
      </c>
      <c r="M60" s="123">
        <f t="shared" si="29"/>
        <v>42739</v>
      </c>
      <c r="N60" s="91"/>
      <c r="O60" s="91"/>
      <c r="P60" s="124">
        <f t="shared" si="30"/>
        <v>0.337243764</v>
      </c>
      <c r="Q60" s="124">
        <f t="shared" si="31"/>
        <v>0.337243764</v>
      </c>
      <c r="R60" s="124">
        <f t="shared" si="38"/>
        <v>0.337243764</v>
      </c>
      <c r="S60" s="124">
        <f t="shared" si="39"/>
        <v>0.337243764</v>
      </c>
      <c r="T60" s="121">
        <f t="shared" si="32"/>
        <v>0.337243764</v>
      </c>
      <c r="U60" s="124">
        <f t="shared" si="33"/>
        <v>0.337243764</v>
      </c>
      <c r="V60" s="124"/>
      <c r="W60" s="124"/>
      <c r="X60" s="91"/>
      <c r="Y60" s="124">
        <f t="shared" si="34"/>
        <v>0.337243764</v>
      </c>
      <c r="Z60" s="124"/>
      <c r="AA60" s="124"/>
      <c r="AB60" s="124"/>
      <c r="AC60" s="121">
        <f t="shared" si="40"/>
        <v>0.337243764</v>
      </c>
      <c r="AD60" s="124">
        <f t="shared" si="35"/>
        <v>0.337243764</v>
      </c>
      <c r="AE60" s="377"/>
      <c r="AF60" s="377"/>
      <c r="AG60" s="124"/>
      <c r="AH60" s="124">
        <f t="shared" si="41"/>
        <v>0.337243764</v>
      </c>
      <c r="AI60" s="124">
        <f t="shared" si="36"/>
        <v>0.337243764</v>
      </c>
      <c r="AJ60" s="124"/>
      <c r="AK60" s="124"/>
      <c r="AL60" s="124"/>
      <c r="AM60" s="124">
        <f t="shared" si="42"/>
        <v>0.337243764</v>
      </c>
      <c r="AN60" s="124">
        <f t="shared" si="37"/>
        <v>0.337243764</v>
      </c>
      <c r="AO60" s="377"/>
      <c r="AP60" s="377"/>
      <c r="AQ60" s="124"/>
      <c r="AR60" s="124">
        <f t="shared" si="43"/>
        <v>0.337243764</v>
      </c>
      <c r="AS60" s="206" t="s">
        <v>247</v>
      </c>
    </row>
    <row r="61" spans="1:45" s="2" customFormat="1" ht="47.25">
      <c r="A61" s="205" t="str">
        <f>1!A65</f>
        <v>1.4.2.12</v>
      </c>
      <c r="B61" s="120" t="str">
        <f>1!B65</f>
        <v>Строительство КТП-248 ул.Тихая,8, п.Иноземцево (ТМГ-250 кВА)</v>
      </c>
      <c r="C61" s="502" t="str">
        <f>1!C65</f>
        <v>G_Gelezno_ТР12</v>
      </c>
      <c r="D61" s="91" t="s">
        <v>268</v>
      </c>
      <c r="E61" s="91">
        <v>2017</v>
      </c>
      <c r="F61" s="91">
        <v>2017</v>
      </c>
      <c r="G61" s="91"/>
      <c r="H61" s="121" t="s">
        <v>368</v>
      </c>
      <c r="I61" s="121">
        <f t="shared" si="28"/>
        <v>1.0775656396</v>
      </c>
      <c r="J61" s="123">
        <v>42739</v>
      </c>
      <c r="K61" s="91"/>
      <c r="L61" s="124">
        <f>0.91319122*1.18</f>
        <v>1.0775656396</v>
      </c>
      <c r="M61" s="123">
        <f t="shared" si="29"/>
        <v>42739</v>
      </c>
      <c r="N61" s="91"/>
      <c r="O61" s="91"/>
      <c r="P61" s="124">
        <f t="shared" si="30"/>
        <v>1.0775656396</v>
      </c>
      <c r="Q61" s="124">
        <f t="shared" si="31"/>
        <v>1.0775656396</v>
      </c>
      <c r="R61" s="124">
        <f t="shared" si="38"/>
        <v>1.0775656396</v>
      </c>
      <c r="S61" s="124">
        <f t="shared" si="39"/>
        <v>1.0775656396</v>
      </c>
      <c r="T61" s="121">
        <f t="shared" si="32"/>
        <v>1.0775656396</v>
      </c>
      <c r="U61" s="124">
        <f t="shared" si="33"/>
        <v>1.0775656396</v>
      </c>
      <c r="V61" s="124"/>
      <c r="W61" s="124"/>
      <c r="X61" s="91"/>
      <c r="Y61" s="124">
        <f t="shared" si="34"/>
        <v>1.0775656396</v>
      </c>
      <c r="Z61" s="124"/>
      <c r="AA61" s="124"/>
      <c r="AB61" s="124"/>
      <c r="AC61" s="121">
        <f t="shared" si="40"/>
        <v>1.0775656396</v>
      </c>
      <c r="AD61" s="124">
        <f t="shared" si="35"/>
        <v>1.0775656396</v>
      </c>
      <c r="AE61" s="377"/>
      <c r="AF61" s="377"/>
      <c r="AG61" s="124"/>
      <c r="AH61" s="124">
        <f t="shared" si="41"/>
        <v>1.0775656396</v>
      </c>
      <c r="AI61" s="124">
        <f t="shared" si="36"/>
        <v>1.0775656396</v>
      </c>
      <c r="AJ61" s="124"/>
      <c r="AK61" s="124"/>
      <c r="AL61" s="124"/>
      <c r="AM61" s="124">
        <f t="shared" si="42"/>
        <v>1.0775656396</v>
      </c>
      <c r="AN61" s="124">
        <f t="shared" si="37"/>
        <v>1.0775656396</v>
      </c>
      <c r="AO61" s="377"/>
      <c r="AP61" s="377"/>
      <c r="AQ61" s="124"/>
      <c r="AR61" s="124">
        <f t="shared" si="43"/>
        <v>1.0775656396</v>
      </c>
      <c r="AS61" s="206" t="s">
        <v>247</v>
      </c>
    </row>
    <row r="62" spans="1:45" s="2" customFormat="1" ht="47.25">
      <c r="A62" s="205" t="str">
        <f>1!A66</f>
        <v>1.4.2.13</v>
      </c>
      <c r="B62" s="120" t="str">
        <f>1!B66</f>
        <v>Строительство ВЛ-0,4 кВ от КТП-233 до ВРУ магазина ул.Вокзальная, 46А, п.Иноземцево, L= 0,408 км (СИП-2 3х50+1х54,6)</v>
      </c>
      <c r="C62" s="502" t="str">
        <f>1!C66</f>
        <v>G_Gelezno_ТР13</v>
      </c>
      <c r="D62" s="91" t="s">
        <v>268</v>
      </c>
      <c r="E62" s="91">
        <v>2017</v>
      </c>
      <c r="F62" s="91">
        <v>2017</v>
      </c>
      <c r="G62" s="91"/>
      <c r="H62" s="121" t="s">
        <v>368</v>
      </c>
      <c r="I62" s="121">
        <f t="shared" si="28"/>
        <v>0.20086124019999999</v>
      </c>
      <c r="J62" s="123">
        <v>42739</v>
      </c>
      <c r="K62" s="91"/>
      <c r="L62" s="124">
        <f>0.17022139*1.18</f>
        <v>0.20086124019999999</v>
      </c>
      <c r="M62" s="123">
        <f t="shared" si="29"/>
        <v>42739</v>
      </c>
      <c r="N62" s="91"/>
      <c r="O62" s="91"/>
      <c r="P62" s="124">
        <f t="shared" si="30"/>
        <v>0.20086124019999999</v>
      </c>
      <c r="Q62" s="124">
        <f t="shared" si="31"/>
        <v>0.20086124019999999</v>
      </c>
      <c r="R62" s="124">
        <f t="shared" si="38"/>
        <v>0.20086124019999999</v>
      </c>
      <c r="S62" s="124">
        <f t="shared" si="39"/>
        <v>0.20086124019999999</v>
      </c>
      <c r="T62" s="121">
        <f t="shared" si="32"/>
        <v>0.20086124019999999</v>
      </c>
      <c r="U62" s="124">
        <f t="shared" si="33"/>
        <v>0.20086124019999999</v>
      </c>
      <c r="V62" s="124"/>
      <c r="W62" s="124"/>
      <c r="X62" s="91"/>
      <c r="Y62" s="124">
        <f t="shared" si="34"/>
        <v>0.20086124019999999</v>
      </c>
      <c r="Z62" s="124"/>
      <c r="AA62" s="124"/>
      <c r="AB62" s="124"/>
      <c r="AC62" s="121">
        <f t="shared" si="40"/>
        <v>0.20086124019999999</v>
      </c>
      <c r="AD62" s="124">
        <f t="shared" si="35"/>
        <v>0.20086124019999999</v>
      </c>
      <c r="AE62" s="377"/>
      <c r="AF62" s="377"/>
      <c r="AG62" s="124"/>
      <c r="AH62" s="124">
        <f t="shared" si="41"/>
        <v>0.20086124019999999</v>
      </c>
      <c r="AI62" s="124">
        <f t="shared" si="36"/>
        <v>0.20086124019999999</v>
      </c>
      <c r="AJ62" s="124"/>
      <c r="AK62" s="124"/>
      <c r="AL62" s="124"/>
      <c r="AM62" s="124">
        <f t="shared" si="42"/>
        <v>0.20086124019999999</v>
      </c>
      <c r="AN62" s="124">
        <f t="shared" si="37"/>
        <v>0.20086124019999999</v>
      </c>
      <c r="AO62" s="377"/>
      <c r="AP62" s="377"/>
      <c r="AQ62" s="124"/>
      <c r="AR62" s="124">
        <f t="shared" si="43"/>
        <v>0.20086124019999999</v>
      </c>
      <c r="AS62" s="206" t="s">
        <v>247</v>
      </c>
    </row>
    <row r="63" spans="1:45" s="2" customFormat="1" ht="47.25">
      <c r="A63" s="205" t="str">
        <f>1!A67</f>
        <v>1.4.2.14</v>
      </c>
      <c r="B63" s="120" t="str">
        <f>1!B67</f>
        <v>Строительство ВЛ-0,4 кВ от РУ-0,4кВ ТП-75 (С-1) по ул.Ленина район дома 123, г.Железноводск, L= 0,143 км (СИП-2 3х50+1х54,6)</v>
      </c>
      <c r="C63" s="502" t="str">
        <f>1!C67</f>
        <v>G_Gelezno_ТР14</v>
      </c>
      <c r="D63" s="91" t="s">
        <v>268</v>
      </c>
      <c r="E63" s="91">
        <v>2017</v>
      </c>
      <c r="F63" s="91">
        <v>2017</v>
      </c>
      <c r="G63" s="91"/>
      <c r="H63" s="121" t="s">
        <v>368</v>
      </c>
      <c r="I63" s="121">
        <f t="shared" si="28"/>
        <v>0.1110671224</v>
      </c>
      <c r="J63" s="123">
        <v>42739</v>
      </c>
      <c r="K63" s="91"/>
      <c r="L63" s="124">
        <f>0.09412468*1.18</f>
        <v>0.1110671224</v>
      </c>
      <c r="M63" s="123">
        <f t="shared" si="29"/>
        <v>42739</v>
      </c>
      <c r="N63" s="91"/>
      <c r="O63" s="91"/>
      <c r="P63" s="124">
        <f t="shared" si="30"/>
        <v>0.1110671224</v>
      </c>
      <c r="Q63" s="124">
        <f t="shared" si="31"/>
        <v>0.1110671224</v>
      </c>
      <c r="R63" s="124">
        <f t="shared" si="38"/>
        <v>0.1110671224</v>
      </c>
      <c r="S63" s="124">
        <f t="shared" si="39"/>
        <v>0.1110671224</v>
      </c>
      <c r="T63" s="121">
        <f t="shared" si="32"/>
        <v>0.1110671224</v>
      </c>
      <c r="U63" s="124">
        <f t="shared" si="33"/>
        <v>0.1110671224</v>
      </c>
      <c r="V63" s="124"/>
      <c r="W63" s="124"/>
      <c r="X63" s="91"/>
      <c r="Y63" s="124">
        <f t="shared" si="34"/>
        <v>0.1110671224</v>
      </c>
      <c r="Z63" s="124"/>
      <c r="AA63" s="124"/>
      <c r="AB63" s="124"/>
      <c r="AC63" s="121">
        <f t="shared" si="40"/>
        <v>0.1110671224</v>
      </c>
      <c r="AD63" s="124">
        <f t="shared" si="35"/>
        <v>0.1110671224</v>
      </c>
      <c r="AE63" s="377"/>
      <c r="AF63" s="377"/>
      <c r="AG63" s="124"/>
      <c r="AH63" s="124">
        <f t="shared" si="41"/>
        <v>0.1110671224</v>
      </c>
      <c r="AI63" s="124">
        <f t="shared" si="36"/>
        <v>0.1110671224</v>
      </c>
      <c r="AJ63" s="124"/>
      <c r="AK63" s="124"/>
      <c r="AL63" s="124"/>
      <c r="AM63" s="124">
        <f t="shared" si="42"/>
        <v>0.1110671224</v>
      </c>
      <c r="AN63" s="124">
        <f t="shared" si="37"/>
        <v>0.1110671224</v>
      </c>
      <c r="AO63" s="377"/>
      <c r="AP63" s="377"/>
      <c r="AQ63" s="124"/>
      <c r="AR63" s="124">
        <f t="shared" si="43"/>
        <v>0.1110671224</v>
      </c>
      <c r="AS63" s="206" t="s">
        <v>247</v>
      </c>
    </row>
    <row r="64" spans="1:45" s="2" customFormat="1" ht="47.25">
      <c r="A64" s="205" t="str">
        <f>1!A68</f>
        <v>1.4.2.15</v>
      </c>
      <c r="B64" s="120" t="str">
        <f>1!B68</f>
        <v>Строительство ВЛ-0,4кВ от РУ-0,4 кВ ТП-75 (С-2) по ул.Ленина район дома 123, г.Железноводск, L= 0,143 км (СИП-2 3х50+1х54,6)</v>
      </c>
      <c r="C64" s="502" t="str">
        <f>1!C68</f>
        <v>G_Gelezno_ТР15</v>
      </c>
      <c r="D64" s="91" t="s">
        <v>268</v>
      </c>
      <c r="E64" s="91">
        <v>2017</v>
      </c>
      <c r="F64" s="91">
        <v>2017</v>
      </c>
      <c r="G64" s="91"/>
      <c r="H64" s="121" t="s">
        <v>368</v>
      </c>
      <c r="I64" s="121">
        <f t="shared" si="28"/>
        <v>0.0904478968</v>
      </c>
      <c r="J64" s="123">
        <v>42739</v>
      </c>
      <c r="K64" s="91"/>
      <c r="L64" s="124">
        <f>0.07665076*1.18</f>
        <v>0.0904478968</v>
      </c>
      <c r="M64" s="123">
        <f t="shared" si="29"/>
        <v>42739</v>
      </c>
      <c r="N64" s="91"/>
      <c r="O64" s="91"/>
      <c r="P64" s="124">
        <f t="shared" si="30"/>
        <v>0.0904478968</v>
      </c>
      <c r="Q64" s="124">
        <f t="shared" si="31"/>
        <v>0.0904478968</v>
      </c>
      <c r="R64" s="124">
        <f t="shared" si="38"/>
        <v>0.0904478968</v>
      </c>
      <c r="S64" s="124">
        <f t="shared" si="39"/>
        <v>0.0904478968</v>
      </c>
      <c r="T64" s="121">
        <f t="shared" si="32"/>
        <v>0.0904478968</v>
      </c>
      <c r="U64" s="124">
        <f t="shared" si="33"/>
        <v>0.0904478968</v>
      </c>
      <c r="V64" s="124"/>
      <c r="W64" s="124"/>
      <c r="X64" s="91"/>
      <c r="Y64" s="124">
        <f t="shared" si="34"/>
        <v>0.0904478968</v>
      </c>
      <c r="Z64" s="124"/>
      <c r="AA64" s="124"/>
      <c r="AB64" s="124"/>
      <c r="AC64" s="121">
        <f t="shared" si="40"/>
        <v>0.0904478968</v>
      </c>
      <c r="AD64" s="124">
        <f t="shared" si="35"/>
        <v>0.0904478968</v>
      </c>
      <c r="AE64" s="377"/>
      <c r="AF64" s="377"/>
      <c r="AG64" s="124"/>
      <c r="AH64" s="124">
        <f t="shared" si="41"/>
        <v>0.0904478968</v>
      </c>
      <c r="AI64" s="124">
        <f t="shared" si="36"/>
        <v>0.0904478968</v>
      </c>
      <c r="AJ64" s="124"/>
      <c r="AK64" s="124"/>
      <c r="AL64" s="124"/>
      <c r="AM64" s="124">
        <f t="shared" si="42"/>
        <v>0.0904478968</v>
      </c>
      <c r="AN64" s="124">
        <f t="shared" si="37"/>
        <v>0.0904478968</v>
      </c>
      <c r="AO64" s="377"/>
      <c r="AP64" s="377"/>
      <c r="AQ64" s="124"/>
      <c r="AR64" s="124">
        <f t="shared" si="43"/>
        <v>0.0904478968</v>
      </c>
      <c r="AS64" s="206" t="s">
        <v>247</v>
      </c>
    </row>
    <row r="65" spans="1:45" s="2" customFormat="1" ht="47.25">
      <c r="A65" s="205" t="str">
        <f>1!A69</f>
        <v>1.4.2.16</v>
      </c>
      <c r="B65" s="120" t="str">
        <f>1!B69</f>
        <v>Строительство КЛ-0,4 кВ от ВРУ-1 до ВРУ-2 в ЖК "Вишнёвый сад" (2-ая очередь), п.Иноземцево, L= 0,04 км (АВБбШв 4х120)</v>
      </c>
      <c r="C65" s="502" t="str">
        <f>1!C69</f>
        <v>G_Gelezno_ТР16</v>
      </c>
      <c r="D65" s="91" t="s">
        <v>268</v>
      </c>
      <c r="E65" s="91">
        <v>2017</v>
      </c>
      <c r="F65" s="91">
        <v>2017</v>
      </c>
      <c r="G65" s="91"/>
      <c r="H65" s="121" t="s">
        <v>368</v>
      </c>
      <c r="I65" s="121">
        <f t="shared" si="28"/>
        <v>0.05238506</v>
      </c>
      <c r="J65" s="123">
        <v>42739</v>
      </c>
      <c r="K65" s="91"/>
      <c r="L65" s="124">
        <f>0.05238506</f>
        <v>0.05238506</v>
      </c>
      <c r="M65" s="123">
        <f t="shared" si="29"/>
        <v>42739</v>
      </c>
      <c r="N65" s="91"/>
      <c r="O65" s="91"/>
      <c r="P65" s="124">
        <f t="shared" si="30"/>
        <v>0.05238506</v>
      </c>
      <c r="Q65" s="124">
        <f t="shared" si="31"/>
        <v>0.05238506</v>
      </c>
      <c r="R65" s="124">
        <f t="shared" si="38"/>
        <v>0.05238506</v>
      </c>
      <c r="S65" s="124">
        <f t="shared" si="39"/>
        <v>0.05238506</v>
      </c>
      <c r="T65" s="121">
        <f t="shared" si="32"/>
        <v>0.05238506</v>
      </c>
      <c r="U65" s="124">
        <f t="shared" si="33"/>
        <v>0.05238506</v>
      </c>
      <c r="V65" s="124"/>
      <c r="W65" s="124"/>
      <c r="X65" s="91"/>
      <c r="Y65" s="124">
        <f t="shared" si="34"/>
        <v>0.05238506</v>
      </c>
      <c r="Z65" s="124"/>
      <c r="AA65" s="124"/>
      <c r="AB65" s="124"/>
      <c r="AC65" s="121">
        <f t="shared" si="40"/>
        <v>0.05238506</v>
      </c>
      <c r="AD65" s="124">
        <f t="shared" si="35"/>
        <v>0.05238506</v>
      </c>
      <c r="AE65" s="377"/>
      <c r="AF65" s="377"/>
      <c r="AG65" s="124"/>
      <c r="AH65" s="124">
        <f t="shared" si="41"/>
        <v>0.05238506</v>
      </c>
      <c r="AI65" s="124">
        <f t="shared" si="36"/>
        <v>0.05238506</v>
      </c>
      <c r="AJ65" s="124"/>
      <c r="AK65" s="124"/>
      <c r="AL65" s="124"/>
      <c r="AM65" s="124">
        <f t="shared" si="42"/>
        <v>0.05238506</v>
      </c>
      <c r="AN65" s="124">
        <f t="shared" si="37"/>
        <v>0.05238506</v>
      </c>
      <c r="AO65" s="377"/>
      <c r="AP65" s="377"/>
      <c r="AQ65" s="124"/>
      <c r="AR65" s="124">
        <f t="shared" si="43"/>
        <v>0.05238506</v>
      </c>
      <c r="AS65" s="206" t="s">
        <v>247</v>
      </c>
    </row>
    <row r="66" spans="1:45" s="2" customFormat="1" ht="47.25">
      <c r="A66" s="205" t="str">
        <f>1!A70</f>
        <v>1.4.2.17</v>
      </c>
      <c r="B66" s="120" t="str">
        <f>1!B70</f>
        <v>Строительство КЛ-0,4кВ от ВРУ-11 до ВРУ-12 в ЖК"Вишнёвый сад" (2-ая очередь), п.Иноземцево, L= 0,035 км (АВБбШв 4х95)</v>
      </c>
      <c r="C66" s="502" t="str">
        <f>1!C70</f>
        <v>G_Gelezno_ТР17</v>
      </c>
      <c r="D66" s="91" t="s">
        <v>268</v>
      </c>
      <c r="E66" s="91">
        <v>2017</v>
      </c>
      <c r="F66" s="91">
        <v>2017</v>
      </c>
      <c r="G66" s="91"/>
      <c r="H66" s="121" t="s">
        <v>368</v>
      </c>
      <c r="I66" s="121">
        <f t="shared" si="28"/>
        <v>0.04696934</v>
      </c>
      <c r="J66" s="123">
        <v>42739</v>
      </c>
      <c r="K66" s="91"/>
      <c r="L66" s="124">
        <f>0.04696934</f>
        <v>0.04696934</v>
      </c>
      <c r="M66" s="123">
        <f t="shared" si="29"/>
        <v>42739</v>
      </c>
      <c r="N66" s="91"/>
      <c r="O66" s="91"/>
      <c r="P66" s="124">
        <f t="shared" si="30"/>
        <v>0.04696934</v>
      </c>
      <c r="Q66" s="124">
        <f t="shared" si="31"/>
        <v>0.04696934</v>
      </c>
      <c r="R66" s="124">
        <f t="shared" si="38"/>
        <v>0.04696934</v>
      </c>
      <c r="S66" s="124">
        <f t="shared" si="39"/>
        <v>0.04696934</v>
      </c>
      <c r="T66" s="121">
        <f t="shared" si="32"/>
        <v>0.04696934</v>
      </c>
      <c r="U66" s="124">
        <f t="shared" si="33"/>
        <v>0.04696934</v>
      </c>
      <c r="V66" s="124"/>
      <c r="W66" s="124"/>
      <c r="X66" s="91"/>
      <c r="Y66" s="124">
        <f t="shared" si="34"/>
        <v>0.04696934</v>
      </c>
      <c r="Z66" s="124"/>
      <c r="AA66" s="124"/>
      <c r="AB66" s="124"/>
      <c r="AC66" s="121">
        <f t="shared" si="40"/>
        <v>0.04696934</v>
      </c>
      <c r="AD66" s="124">
        <f t="shared" si="35"/>
        <v>0.04696934</v>
      </c>
      <c r="AE66" s="377"/>
      <c r="AF66" s="377"/>
      <c r="AG66" s="124"/>
      <c r="AH66" s="124">
        <f t="shared" si="41"/>
        <v>0.04696934</v>
      </c>
      <c r="AI66" s="124">
        <f t="shared" si="36"/>
        <v>0.04696934</v>
      </c>
      <c r="AJ66" s="124"/>
      <c r="AK66" s="124"/>
      <c r="AL66" s="124"/>
      <c r="AM66" s="124">
        <f t="shared" si="42"/>
        <v>0.04696934</v>
      </c>
      <c r="AN66" s="124">
        <f t="shared" si="37"/>
        <v>0.04696934</v>
      </c>
      <c r="AO66" s="377"/>
      <c r="AP66" s="377"/>
      <c r="AQ66" s="124"/>
      <c r="AR66" s="124">
        <f t="shared" si="43"/>
        <v>0.04696934</v>
      </c>
      <c r="AS66" s="206" t="s">
        <v>247</v>
      </c>
    </row>
    <row r="67" spans="1:45" s="2" customFormat="1" ht="47.25">
      <c r="A67" s="205" t="str">
        <f>1!A71</f>
        <v>1.4.2.18</v>
      </c>
      <c r="B67" s="120" t="str">
        <f>1!B71</f>
        <v>Строительство КЛ-0,4кВ от ВРУ-13 до ВРУ-14 в ЖК"Вишнёвый сад" (2-ая очередь), п.Иноземцево, L= 0,035 км (АВБбШв 4х95)</v>
      </c>
      <c r="C67" s="502" t="str">
        <f>1!C71</f>
        <v>G_Gelezno_ТР18</v>
      </c>
      <c r="D67" s="91" t="s">
        <v>268</v>
      </c>
      <c r="E67" s="91">
        <v>2017</v>
      </c>
      <c r="F67" s="91">
        <v>2017</v>
      </c>
      <c r="G67" s="91"/>
      <c r="H67" s="121" t="s">
        <v>368</v>
      </c>
      <c r="I67" s="121">
        <f t="shared" si="28"/>
        <v>0.04273267</v>
      </c>
      <c r="J67" s="123">
        <v>42739</v>
      </c>
      <c r="K67" s="91"/>
      <c r="L67" s="124">
        <f>0.04273267</f>
        <v>0.04273267</v>
      </c>
      <c r="M67" s="123">
        <f t="shared" si="29"/>
        <v>42739</v>
      </c>
      <c r="N67" s="91"/>
      <c r="O67" s="91"/>
      <c r="P67" s="124">
        <f t="shared" si="30"/>
        <v>0.04273267</v>
      </c>
      <c r="Q67" s="124">
        <f t="shared" si="31"/>
        <v>0.04273267</v>
      </c>
      <c r="R67" s="124">
        <f t="shared" si="38"/>
        <v>0.04273267</v>
      </c>
      <c r="S67" s="124">
        <f t="shared" si="39"/>
        <v>0.04273267</v>
      </c>
      <c r="T67" s="121">
        <f t="shared" si="32"/>
        <v>0.04273267</v>
      </c>
      <c r="U67" s="124">
        <f t="shared" si="33"/>
        <v>0.04273267</v>
      </c>
      <c r="V67" s="124"/>
      <c r="W67" s="124"/>
      <c r="X67" s="91"/>
      <c r="Y67" s="124">
        <f t="shared" si="34"/>
        <v>0.04273267</v>
      </c>
      <c r="Z67" s="124"/>
      <c r="AA67" s="124"/>
      <c r="AB67" s="124"/>
      <c r="AC67" s="121">
        <f t="shared" si="40"/>
        <v>0.04273267</v>
      </c>
      <c r="AD67" s="124">
        <f t="shared" si="35"/>
        <v>0.04273267</v>
      </c>
      <c r="AE67" s="377"/>
      <c r="AF67" s="377"/>
      <c r="AG67" s="124"/>
      <c r="AH67" s="124">
        <f t="shared" si="41"/>
        <v>0.04273267</v>
      </c>
      <c r="AI67" s="124">
        <f t="shared" si="36"/>
        <v>0.04273267</v>
      </c>
      <c r="AJ67" s="124"/>
      <c r="AK67" s="124"/>
      <c r="AL67" s="124"/>
      <c r="AM67" s="124">
        <f t="shared" si="42"/>
        <v>0.04273267</v>
      </c>
      <c r="AN67" s="124">
        <f t="shared" si="37"/>
        <v>0.04273267</v>
      </c>
      <c r="AO67" s="377"/>
      <c r="AP67" s="377"/>
      <c r="AQ67" s="124"/>
      <c r="AR67" s="124">
        <f t="shared" si="43"/>
        <v>0.04273267</v>
      </c>
      <c r="AS67" s="206" t="s">
        <v>247</v>
      </c>
    </row>
    <row r="68" spans="1:45" s="2" customFormat="1" ht="47.25">
      <c r="A68" s="205" t="str">
        <f>1!A72</f>
        <v>1.4.2.19</v>
      </c>
      <c r="B68" s="120" t="str">
        <f>1!B72</f>
        <v>Строительство КЛ-0,4 кВ от ВРУ-9 до ВРУ-10 в ЖК "Вишнёвый сад" (2-ая очередь), п.Иноземцево, L= 0,035 км (АВБбШв 4х95)</v>
      </c>
      <c r="C68" s="502" t="str">
        <f>1!C72</f>
        <v>G_Gelezno_ТР19</v>
      </c>
      <c r="D68" s="91" t="s">
        <v>268</v>
      </c>
      <c r="E68" s="91">
        <v>2017</v>
      </c>
      <c r="F68" s="91">
        <v>2017</v>
      </c>
      <c r="G68" s="91"/>
      <c r="H68" s="121" t="s">
        <v>368</v>
      </c>
      <c r="I68" s="121">
        <f t="shared" si="28"/>
        <v>0.04273267</v>
      </c>
      <c r="J68" s="123">
        <v>42739</v>
      </c>
      <c r="K68" s="91"/>
      <c r="L68" s="124">
        <f>0.04273267</f>
        <v>0.04273267</v>
      </c>
      <c r="M68" s="123">
        <f t="shared" si="29"/>
        <v>42739</v>
      </c>
      <c r="N68" s="91"/>
      <c r="O68" s="91"/>
      <c r="P68" s="124">
        <f t="shared" si="30"/>
        <v>0.04273267</v>
      </c>
      <c r="Q68" s="124">
        <f t="shared" si="31"/>
        <v>0.04273267</v>
      </c>
      <c r="R68" s="124">
        <f t="shared" si="38"/>
        <v>0.04273267</v>
      </c>
      <c r="S68" s="124">
        <f t="shared" si="39"/>
        <v>0.04273267</v>
      </c>
      <c r="T68" s="121">
        <f t="shared" si="32"/>
        <v>0.04273267</v>
      </c>
      <c r="U68" s="124">
        <f t="shared" si="33"/>
        <v>0.04273267</v>
      </c>
      <c r="V68" s="124"/>
      <c r="W68" s="124"/>
      <c r="X68" s="91"/>
      <c r="Y68" s="124">
        <f t="shared" si="34"/>
        <v>0.04273267</v>
      </c>
      <c r="Z68" s="124"/>
      <c r="AA68" s="124"/>
      <c r="AB68" s="124"/>
      <c r="AC68" s="121">
        <f t="shared" si="40"/>
        <v>0.04273267</v>
      </c>
      <c r="AD68" s="124">
        <f t="shared" si="35"/>
        <v>0.04273267</v>
      </c>
      <c r="AE68" s="377"/>
      <c r="AF68" s="377"/>
      <c r="AG68" s="124"/>
      <c r="AH68" s="124">
        <f t="shared" si="41"/>
        <v>0.04273267</v>
      </c>
      <c r="AI68" s="124">
        <f t="shared" si="36"/>
        <v>0.04273267</v>
      </c>
      <c r="AJ68" s="124"/>
      <c r="AK68" s="124"/>
      <c r="AL68" s="124"/>
      <c r="AM68" s="124">
        <f t="shared" si="42"/>
        <v>0.04273267</v>
      </c>
      <c r="AN68" s="124">
        <f t="shared" si="37"/>
        <v>0.04273267</v>
      </c>
      <c r="AO68" s="377"/>
      <c r="AP68" s="377"/>
      <c r="AQ68" s="124"/>
      <c r="AR68" s="124">
        <f t="shared" si="43"/>
        <v>0.04273267</v>
      </c>
      <c r="AS68" s="206" t="s">
        <v>247</v>
      </c>
    </row>
    <row r="69" spans="1:45" s="2" customFormat="1" ht="47.25">
      <c r="A69" s="205" t="str">
        <f>1!A73</f>
        <v>1.4.2.20</v>
      </c>
      <c r="B69" s="120" t="str">
        <f>1!B73</f>
        <v>Строительство КЛ-0,4 кВ от РУ-0,4 кВ 2КТП-244 до ВРУ-10 в ЖК "Вишнёвый сад" (2-ая очередь), п.Иноземцево, L= 0,19 км (АВБбШв 4х120)</v>
      </c>
      <c r="C69" s="502" t="str">
        <f>1!C73</f>
        <v>G_Gelezno_ТР20</v>
      </c>
      <c r="D69" s="91" t="s">
        <v>268</v>
      </c>
      <c r="E69" s="91">
        <v>2017</v>
      </c>
      <c r="F69" s="91">
        <v>2017</v>
      </c>
      <c r="G69" s="91"/>
      <c r="H69" s="121" t="s">
        <v>368</v>
      </c>
      <c r="I69" s="121">
        <f t="shared" si="28"/>
        <v>0.17617151</v>
      </c>
      <c r="J69" s="123">
        <v>42739</v>
      </c>
      <c r="K69" s="91"/>
      <c r="L69" s="124">
        <f>0.17617151</f>
        <v>0.17617151</v>
      </c>
      <c r="M69" s="123">
        <f t="shared" si="29"/>
        <v>42739</v>
      </c>
      <c r="N69" s="91"/>
      <c r="O69" s="91"/>
      <c r="P69" s="124">
        <f t="shared" si="30"/>
        <v>0.17617151</v>
      </c>
      <c r="Q69" s="124">
        <f t="shared" si="31"/>
        <v>0.17617151</v>
      </c>
      <c r="R69" s="124">
        <f t="shared" si="38"/>
        <v>0.17617151</v>
      </c>
      <c r="S69" s="124">
        <f t="shared" si="39"/>
        <v>0.17617151</v>
      </c>
      <c r="T69" s="121">
        <f t="shared" si="32"/>
        <v>0.17617151</v>
      </c>
      <c r="U69" s="124">
        <f t="shared" si="33"/>
        <v>0.17617151</v>
      </c>
      <c r="V69" s="124"/>
      <c r="W69" s="124"/>
      <c r="X69" s="91"/>
      <c r="Y69" s="124">
        <f t="shared" si="34"/>
        <v>0.17617151</v>
      </c>
      <c r="Z69" s="124"/>
      <c r="AA69" s="124"/>
      <c r="AB69" s="124"/>
      <c r="AC69" s="121">
        <f t="shared" si="40"/>
        <v>0.17617151</v>
      </c>
      <c r="AD69" s="124">
        <f t="shared" si="35"/>
        <v>0.17617151</v>
      </c>
      <c r="AE69" s="377"/>
      <c r="AF69" s="377"/>
      <c r="AG69" s="124"/>
      <c r="AH69" s="124">
        <f t="shared" si="41"/>
        <v>0.17617151</v>
      </c>
      <c r="AI69" s="124">
        <f t="shared" si="36"/>
        <v>0.17617151</v>
      </c>
      <c r="AJ69" s="124"/>
      <c r="AK69" s="124"/>
      <c r="AL69" s="124"/>
      <c r="AM69" s="124">
        <f t="shared" si="42"/>
        <v>0.17617151</v>
      </c>
      <c r="AN69" s="124">
        <f t="shared" si="37"/>
        <v>0.17617151</v>
      </c>
      <c r="AO69" s="377"/>
      <c r="AP69" s="377"/>
      <c r="AQ69" s="124"/>
      <c r="AR69" s="124">
        <f t="shared" si="43"/>
        <v>0.17617151</v>
      </c>
      <c r="AS69" s="206" t="s">
        <v>247</v>
      </c>
    </row>
    <row r="70" spans="1:45" s="2" customFormat="1" ht="47.25">
      <c r="A70" s="205" t="str">
        <f>1!A74</f>
        <v>1.4.2.21</v>
      </c>
      <c r="B70" s="120" t="str">
        <f>1!B74</f>
        <v>Строительство КЛ-0,4 кВ от РУ-0,4 кВ 2КТП-244 до ВРУ-11 в ЖК "Вишнёвый сад" (2-ая очередь), п.Иноземцево, L= 0,14 км (АВБбШв 4х95)</v>
      </c>
      <c r="C70" s="502" t="str">
        <f>1!C74</f>
        <v>G_Gelezno_ТР21</v>
      </c>
      <c r="D70" s="91" t="s">
        <v>268</v>
      </c>
      <c r="E70" s="91">
        <v>2017</v>
      </c>
      <c r="F70" s="91">
        <v>2017</v>
      </c>
      <c r="G70" s="91"/>
      <c r="H70" s="121" t="s">
        <v>368</v>
      </c>
      <c r="I70" s="121">
        <f t="shared" si="28"/>
        <v>0.13190507</v>
      </c>
      <c r="J70" s="123">
        <v>42739</v>
      </c>
      <c r="K70" s="91"/>
      <c r="L70" s="124">
        <f>0.13190507</f>
        <v>0.13190507</v>
      </c>
      <c r="M70" s="123">
        <f t="shared" si="29"/>
        <v>42739</v>
      </c>
      <c r="N70" s="91"/>
      <c r="O70" s="91"/>
      <c r="P70" s="124">
        <f t="shared" si="30"/>
        <v>0.13190507</v>
      </c>
      <c r="Q70" s="124">
        <f t="shared" si="31"/>
        <v>0.13190507</v>
      </c>
      <c r="R70" s="124">
        <f t="shared" si="38"/>
        <v>0.13190507</v>
      </c>
      <c r="S70" s="124">
        <f t="shared" si="39"/>
        <v>0.13190507</v>
      </c>
      <c r="T70" s="121">
        <f t="shared" si="32"/>
        <v>0.13190507</v>
      </c>
      <c r="U70" s="124">
        <f t="shared" si="33"/>
        <v>0.13190507</v>
      </c>
      <c r="V70" s="124"/>
      <c r="W70" s="124"/>
      <c r="X70" s="91"/>
      <c r="Y70" s="124">
        <f t="shared" si="34"/>
        <v>0.13190507</v>
      </c>
      <c r="Z70" s="124"/>
      <c r="AA70" s="124"/>
      <c r="AB70" s="124"/>
      <c r="AC70" s="121">
        <f t="shared" si="40"/>
        <v>0.13190507</v>
      </c>
      <c r="AD70" s="124">
        <f t="shared" si="35"/>
        <v>0.13190507</v>
      </c>
      <c r="AE70" s="377"/>
      <c r="AF70" s="377"/>
      <c r="AG70" s="124"/>
      <c r="AH70" s="124">
        <f t="shared" si="41"/>
        <v>0.13190507</v>
      </c>
      <c r="AI70" s="124">
        <f t="shared" si="36"/>
        <v>0.13190507</v>
      </c>
      <c r="AJ70" s="124"/>
      <c r="AK70" s="124"/>
      <c r="AL70" s="124"/>
      <c r="AM70" s="124">
        <f t="shared" si="42"/>
        <v>0.13190507</v>
      </c>
      <c r="AN70" s="124">
        <f t="shared" si="37"/>
        <v>0.13190507</v>
      </c>
      <c r="AO70" s="377"/>
      <c r="AP70" s="377"/>
      <c r="AQ70" s="124"/>
      <c r="AR70" s="124">
        <f t="shared" si="43"/>
        <v>0.13190507</v>
      </c>
      <c r="AS70" s="206" t="s">
        <v>247</v>
      </c>
    </row>
    <row r="71" spans="1:45" s="2" customFormat="1" ht="47.25">
      <c r="A71" s="205" t="str">
        <f>1!A75</f>
        <v>1.4.2.22</v>
      </c>
      <c r="B71" s="120" t="str">
        <f>1!B75</f>
        <v>Строительство КЛ-0,4 кВ от РУ-0,4 кВ 2КТП-244 до ВРУ-13 в ЖК "Вишнёвый сад" (2-ая очередь), п.Иноземцево, L= 0,06 км (АВБбШв 4х120)</v>
      </c>
      <c r="C71" s="502" t="str">
        <f>1!C75</f>
        <v>G_Gelezno_ТР22</v>
      </c>
      <c r="D71" s="91" t="s">
        <v>268</v>
      </c>
      <c r="E71" s="91">
        <v>2017</v>
      </c>
      <c r="F71" s="91">
        <v>2017</v>
      </c>
      <c r="G71" s="91"/>
      <c r="H71" s="121" t="s">
        <v>368</v>
      </c>
      <c r="I71" s="121">
        <f aca="true" t="shared" si="44" ref="I71:I79">L71</f>
        <v>0.07768097</v>
      </c>
      <c r="J71" s="123">
        <v>42739</v>
      </c>
      <c r="K71" s="91"/>
      <c r="L71" s="124">
        <f>0.07768097</f>
        <v>0.07768097</v>
      </c>
      <c r="M71" s="123">
        <f aca="true" t="shared" si="45" ref="M71:M79">J71</f>
        <v>42739</v>
      </c>
      <c r="N71" s="91"/>
      <c r="O71" s="91"/>
      <c r="P71" s="124">
        <f aca="true" t="shared" si="46" ref="P71:P79">I71</f>
        <v>0.07768097</v>
      </c>
      <c r="Q71" s="124">
        <f aca="true" t="shared" si="47" ref="Q71:Q79">I71</f>
        <v>0.07768097</v>
      </c>
      <c r="R71" s="124">
        <f aca="true" t="shared" si="48" ref="R71:R79">L71</f>
        <v>0.07768097</v>
      </c>
      <c r="S71" s="124">
        <f aca="true" t="shared" si="49" ref="S71:S79">L71</f>
        <v>0.07768097</v>
      </c>
      <c r="T71" s="121">
        <f aca="true" t="shared" si="50" ref="T71:T79">I71</f>
        <v>0.07768097</v>
      </c>
      <c r="U71" s="124">
        <f aca="true" t="shared" si="51" ref="U71:U79">L71</f>
        <v>0.07768097</v>
      </c>
      <c r="V71" s="124"/>
      <c r="W71" s="124"/>
      <c r="X71" s="91"/>
      <c r="Y71" s="124">
        <f aca="true" t="shared" si="52" ref="Y71:Y79">I71</f>
        <v>0.07768097</v>
      </c>
      <c r="Z71" s="124"/>
      <c r="AA71" s="124"/>
      <c r="AB71" s="124"/>
      <c r="AC71" s="121">
        <f t="shared" si="40"/>
        <v>0.07768097</v>
      </c>
      <c r="AD71" s="124">
        <f aca="true" t="shared" si="53" ref="AD71:AD79">AE71+AF71+AG71+AH71</f>
        <v>0.07768097</v>
      </c>
      <c r="AE71" s="377"/>
      <c r="AF71" s="377"/>
      <c r="AG71" s="124"/>
      <c r="AH71" s="124">
        <f t="shared" si="41"/>
        <v>0.07768097</v>
      </c>
      <c r="AI71" s="124">
        <f aca="true" t="shared" si="54" ref="AI71:AI79">I71</f>
        <v>0.07768097</v>
      </c>
      <c r="AJ71" s="124"/>
      <c r="AK71" s="124"/>
      <c r="AL71" s="124"/>
      <c r="AM71" s="124">
        <f t="shared" si="42"/>
        <v>0.07768097</v>
      </c>
      <c r="AN71" s="124">
        <f aca="true" t="shared" si="55" ref="AN71:AN79">L71</f>
        <v>0.07768097</v>
      </c>
      <c r="AO71" s="377"/>
      <c r="AP71" s="377"/>
      <c r="AQ71" s="124"/>
      <c r="AR71" s="124">
        <f t="shared" si="43"/>
        <v>0.07768097</v>
      </c>
      <c r="AS71" s="206" t="s">
        <v>247</v>
      </c>
    </row>
    <row r="72" spans="1:45" s="2" customFormat="1" ht="47.25">
      <c r="A72" s="205" t="str">
        <f>1!A76</f>
        <v>1.4.2.23</v>
      </c>
      <c r="B72" s="120" t="str">
        <f>1!B76</f>
        <v>Строительство КЛ-0,4 кВ от РУ-0,4 кВ 2КТП-244 до ВРУ-14 в ЖК "Вишнёвый сад" (2-ая очередь), п.Иноземцево, L= 0,1 км (АВБбШв 4х120)</v>
      </c>
      <c r="C72" s="502" t="str">
        <f>1!C76</f>
        <v>G_Gelezno_ТР23</v>
      </c>
      <c r="D72" s="91" t="s">
        <v>268</v>
      </c>
      <c r="E72" s="91">
        <v>2017</v>
      </c>
      <c r="F72" s="91">
        <v>2017</v>
      </c>
      <c r="G72" s="91"/>
      <c r="H72" s="121" t="s">
        <v>368</v>
      </c>
      <c r="I72" s="453">
        <f t="shared" si="44"/>
        <v>0.10803812</v>
      </c>
      <c r="J72" s="123">
        <v>42739</v>
      </c>
      <c r="K72" s="91"/>
      <c r="L72" s="452">
        <f>0.10803812</f>
        <v>0.10803812</v>
      </c>
      <c r="M72" s="123">
        <f t="shared" si="45"/>
        <v>42739</v>
      </c>
      <c r="N72" s="91"/>
      <c r="O72" s="91"/>
      <c r="P72" s="124">
        <f t="shared" si="46"/>
        <v>0.10803812</v>
      </c>
      <c r="Q72" s="124">
        <f t="shared" si="47"/>
        <v>0.10803812</v>
      </c>
      <c r="R72" s="124">
        <f t="shared" si="48"/>
        <v>0.10803812</v>
      </c>
      <c r="S72" s="124">
        <f t="shared" si="49"/>
        <v>0.10803812</v>
      </c>
      <c r="T72" s="121">
        <f t="shared" si="50"/>
        <v>0.10803812</v>
      </c>
      <c r="U72" s="124">
        <f t="shared" si="51"/>
        <v>0.10803812</v>
      </c>
      <c r="V72" s="124"/>
      <c r="W72" s="124"/>
      <c r="X72" s="91"/>
      <c r="Y72" s="124">
        <f t="shared" si="52"/>
        <v>0.10803812</v>
      </c>
      <c r="Z72" s="124"/>
      <c r="AA72" s="124"/>
      <c r="AB72" s="124"/>
      <c r="AC72" s="121">
        <f t="shared" si="40"/>
        <v>0.10803812</v>
      </c>
      <c r="AD72" s="124">
        <f t="shared" si="53"/>
        <v>0.10803812</v>
      </c>
      <c r="AE72" s="377"/>
      <c r="AF72" s="377"/>
      <c r="AG72" s="124"/>
      <c r="AH72" s="124">
        <f t="shared" si="41"/>
        <v>0.10803812</v>
      </c>
      <c r="AI72" s="124">
        <f t="shared" si="54"/>
        <v>0.10803812</v>
      </c>
      <c r="AJ72" s="124"/>
      <c r="AK72" s="124"/>
      <c r="AL72" s="124"/>
      <c r="AM72" s="124">
        <f t="shared" si="42"/>
        <v>0.10803812</v>
      </c>
      <c r="AN72" s="124">
        <f t="shared" si="55"/>
        <v>0.10803812</v>
      </c>
      <c r="AO72" s="377"/>
      <c r="AP72" s="377"/>
      <c r="AQ72" s="124"/>
      <c r="AR72" s="124">
        <f t="shared" si="43"/>
        <v>0.10803812</v>
      </c>
      <c r="AS72" s="206" t="s">
        <v>247</v>
      </c>
    </row>
    <row r="73" spans="1:45" s="2" customFormat="1" ht="47.25">
      <c r="A73" s="205" t="str">
        <f>1!A77</f>
        <v>1.4.2.24</v>
      </c>
      <c r="B73" s="120" t="str">
        <f>1!B77</f>
        <v>Строительство КЛ-0,4 кВ от РУ-0,4 кВ 2КТП-244 до ВРУ-16 в ЖК "Вишнёвый сад" (2-ая очередь), п.Иноземцево, L= 0,11 км (АВБбШв 4х95)</v>
      </c>
      <c r="C73" s="502" t="str">
        <f>1!C77</f>
        <v>G_Gelezno_ТР24</v>
      </c>
      <c r="D73" s="91" t="s">
        <v>268</v>
      </c>
      <c r="E73" s="91">
        <v>2017</v>
      </c>
      <c r="F73" s="91">
        <v>2017</v>
      </c>
      <c r="G73" s="91"/>
      <c r="H73" s="121" t="s">
        <v>368</v>
      </c>
      <c r="I73" s="453">
        <f t="shared" si="44"/>
        <v>0.11052751</v>
      </c>
      <c r="J73" s="123">
        <v>42739</v>
      </c>
      <c r="K73" s="91"/>
      <c r="L73" s="452">
        <f>0.11052751</f>
        <v>0.11052751</v>
      </c>
      <c r="M73" s="123">
        <f t="shared" si="45"/>
        <v>42739</v>
      </c>
      <c r="N73" s="91"/>
      <c r="O73" s="91"/>
      <c r="P73" s="124">
        <f t="shared" si="46"/>
        <v>0.11052751</v>
      </c>
      <c r="Q73" s="124">
        <f t="shared" si="47"/>
        <v>0.11052751</v>
      </c>
      <c r="R73" s="124">
        <f t="shared" si="48"/>
        <v>0.11052751</v>
      </c>
      <c r="S73" s="124">
        <f t="shared" si="49"/>
        <v>0.11052751</v>
      </c>
      <c r="T73" s="121">
        <f t="shared" si="50"/>
        <v>0.11052751</v>
      </c>
      <c r="U73" s="124">
        <f t="shared" si="51"/>
        <v>0.11052751</v>
      </c>
      <c r="V73" s="124"/>
      <c r="W73" s="124"/>
      <c r="X73" s="91"/>
      <c r="Y73" s="124">
        <f t="shared" si="52"/>
        <v>0.11052751</v>
      </c>
      <c r="Z73" s="124"/>
      <c r="AA73" s="124"/>
      <c r="AB73" s="124"/>
      <c r="AC73" s="121">
        <f t="shared" si="40"/>
        <v>0.11052751</v>
      </c>
      <c r="AD73" s="124">
        <f t="shared" si="53"/>
        <v>0.11052751</v>
      </c>
      <c r="AE73" s="377"/>
      <c r="AF73" s="377"/>
      <c r="AG73" s="124"/>
      <c r="AH73" s="124">
        <f t="shared" si="41"/>
        <v>0.11052751</v>
      </c>
      <c r="AI73" s="124">
        <f t="shared" si="54"/>
        <v>0.11052751</v>
      </c>
      <c r="AJ73" s="124"/>
      <c r="AK73" s="124"/>
      <c r="AL73" s="124"/>
      <c r="AM73" s="124">
        <f t="shared" si="42"/>
        <v>0.11052751</v>
      </c>
      <c r="AN73" s="124">
        <f t="shared" si="55"/>
        <v>0.11052751</v>
      </c>
      <c r="AO73" s="377"/>
      <c r="AP73" s="377"/>
      <c r="AQ73" s="124"/>
      <c r="AR73" s="124">
        <f t="shared" si="43"/>
        <v>0.11052751</v>
      </c>
      <c r="AS73" s="206" t="s">
        <v>247</v>
      </c>
    </row>
    <row r="74" spans="1:45" s="2" customFormat="1" ht="47.25">
      <c r="A74" s="205" t="str">
        <f>1!A78</f>
        <v>1.4.2.25</v>
      </c>
      <c r="B74" s="120" t="str">
        <f>1!B78</f>
        <v>Строительство КЛ-0,4 кВ от РУ-0,4 кВ 2КТП-244 до ВРУ-9 в ЖК "Вишнёвый сад" (2-ая очередь), п.Иноземцево, L= 0,215 км (АВБбШв 4х120)</v>
      </c>
      <c r="C74" s="502" t="str">
        <f>1!C78</f>
        <v>G_Gelezno_ТР25</v>
      </c>
      <c r="D74" s="91" t="s">
        <v>268</v>
      </c>
      <c r="E74" s="91">
        <v>2017</v>
      </c>
      <c r="F74" s="91">
        <v>2017</v>
      </c>
      <c r="G74" s="91"/>
      <c r="H74" s="121" t="s">
        <v>368</v>
      </c>
      <c r="I74" s="453">
        <f t="shared" si="44"/>
        <v>0.19531445</v>
      </c>
      <c r="J74" s="123">
        <v>42739</v>
      </c>
      <c r="K74" s="91"/>
      <c r="L74" s="452">
        <f>0.19531445</f>
        <v>0.19531445</v>
      </c>
      <c r="M74" s="123">
        <f t="shared" si="45"/>
        <v>42739</v>
      </c>
      <c r="N74" s="91"/>
      <c r="O74" s="91"/>
      <c r="P74" s="124">
        <f t="shared" si="46"/>
        <v>0.19531445</v>
      </c>
      <c r="Q74" s="124">
        <f t="shared" si="47"/>
        <v>0.19531445</v>
      </c>
      <c r="R74" s="124">
        <f t="shared" si="48"/>
        <v>0.19531445</v>
      </c>
      <c r="S74" s="124">
        <f t="shared" si="49"/>
        <v>0.19531445</v>
      </c>
      <c r="T74" s="121">
        <f t="shared" si="50"/>
        <v>0.19531445</v>
      </c>
      <c r="U74" s="124">
        <f t="shared" si="51"/>
        <v>0.19531445</v>
      </c>
      <c r="V74" s="124"/>
      <c r="W74" s="124"/>
      <c r="X74" s="91"/>
      <c r="Y74" s="124">
        <f t="shared" si="52"/>
        <v>0.19531445</v>
      </c>
      <c r="Z74" s="124"/>
      <c r="AA74" s="124"/>
      <c r="AB74" s="124"/>
      <c r="AC74" s="121">
        <f t="shared" si="40"/>
        <v>0.19531445</v>
      </c>
      <c r="AD74" s="124">
        <f t="shared" si="53"/>
        <v>0.19531445</v>
      </c>
      <c r="AE74" s="377"/>
      <c r="AF74" s="377"/>
      <c r="AG74" s="124"/>
      <c r="AH74" s="124">
        <f t="shared" si="41"/>
        <v>0.19531445</v>
      </c>
      <c r="AI74" s="124">
        <f t="shared" si="54"/>
        <v>0.19531445</v>
      </c>
      <c r="AJ74" s="124"/>
      <c r="AK74" s="124"/>
      <c r="AL74" s="124"/>
      <c r="AM74" s="124">
        <f t="shared" si="42"/>
        <v>0.19531445</v>
      </c>
      <c r="AN74" s="124">
        <f t="shared" si="55"/>
        <v>0.19531445</v>
      </c>
      <c r="AO74" s="377"/>
      <c r="AP74" s="377"/>
      <c r="AQ74" s="124"/>
      <c r="AR74" s="124">
        <f t="shared" si="43"/>
        <v>0.19531445</v>
      </c>
      <c r="AS74" s="206" t="s">
        <v>247</v>
      </c>
    </row>
    <row r="75" spans="1:45" s="2" customFormat="1" ht="47.25">
      <c r="A75" s="205" t="str">
        <f>1!A79</f>
        <v>1.4.2.26</v>
      </c>
      <c r="B75" s="120" t="str">
        <f>1!B79</f>
        <v>Строительство КЛ-0,4 кВ от ВРУ-1 МКЖД до ВРУ-2 МКЖД ул.Тихая,8, п.Иноземцево, L= 0,071 км (АВВГ 4х35)</v>
      </c>
      <c r="C75" s="502" t="str">
        <f>1!C79</f>
        <v>G_Gelezno_ТР26</v>
      </c>
      <c r="D75" s="91" t="s">
        <v>268</v>
      </c>
      <c r="E75" s="91">
        <v>2017</v>
      </c>
      <c r="F75" s="91">
        <v>2017</v>
      </c>
      <c r="G75" s="91"/>
      <c r="H75" s="121" t="s">
        <v>368</v>
      </c>
      <c r="I75" s="453">
        <f t="shared" si="44"/>
        <v>0.0300895752</v>
      </c>
      <c r="J75" s="123">
        <v>42739</v>
      </c>
      <c r="K75" s="91"/>
      <c r="L75" s="452">
        <f>0.02549964*1.18</f>
        <v>0.0300895752</v>
      </c>
      <c r="M75" s="123">
        <f t="shared" si="45"/>
        <v>42739</v>
      </c>
      <c r="N75" s="91"/>
      <c r="O75" s="91"/>
      <c r="P75" s="124">
        <f t="shared" si="46"/>
        <v>0.0300895752</v>
      </c>
      <c r="Q75" s="124">
        <f t="shared" si="47"/>
        <v>0.0300895752</v>
      </c>
      <c r="R75" s="124">
        <f t="shared" si="48"/>
        <v>0.0300895752</v>
      </c>
      <c r="S75" s="124">
        <f t="shared" si="49"/>
        <v>0.0300895752</v>
      </c>
      <c r="T75" s="121">
        <f t="shared" si="50"/>
        <v>0.0300895752</v>
      </c>
      <c r="U75" s="124">
        <f t="shared" si="51"/>
        <v>0.0300895752</v>
      </c>
      <c r="V75" s="124"/>
      <c r="W75" s="124"/>
      <c r="X75" s="91"/>
      <c r="Y75" s="124">
        <f t="shared" si="52"/>
        <v>0.0300895752</v>
      </c>
      <c r="Z75" s="124"/>
      <c r="AA75" s="124"/>
      <c r="AB75" s="124"/>
      <c r="AC75" s="121">
        <f t="shared" si="40"/>
        <v>0.0300895752</v>
      </c>
      <c r="AD75" s="124">
        <f t="shared" si="53"/>
        <v>0.0300895752</v>
      </c>
      <c r="AE75" s="377"/>
      <c r="AF75" s="377"/>
      <c r="AG75" s="124"/>
      <c r="AH75" s="124">
        <f t="shared" si="41"/>
        <v>0.0300895752</v>
      </c>
      <c r="AI75" s="124">
        <f t="shared" si="54"/>
        <v>0.0300895752</v>
      </c>
      <c r="AJ75" s="124"/>
      <c r="AK75" s="124"/>
      <c r="AL75" s="124"/>
      <c r="AM75" s="124">
        <f t="shared" si="42"/>
        <v>0.0300895752</v>
      </c>
      <c r="AN75" s="124">
        <f t="shared" si="55"/>
        <v>0.0300895752</v>
      </c>
      <c r="AO75" s="377"/>
      <c r="AP75" s="377"/>
      <c r="AQ75" s="124"/>
      <c r="AR75" s="124">
        <f t="shared" si="43"/>
        <v>0.0300895752</v>
      </c>
      <c r="AS75" s="206" t="s">
        <v>247</v>
      </c>
    </row>
    <row r="76" spans="1:45" s="2" customFormat="1" ht="47.25">
      <c r="A76" s="205" t="str">
        <f>1!A80</f>
        <v>1.4.2.27</v>
      </c>
      <c r="B76" s="120" t="str">
        <f>1!B80</f>
        <v>Строительство КЛ-0,4 кВ от ВРУ-2 МКЖД до ВРУ-3 МКЖД ул.Тихая,8, п.Иноземцево, L= 0,025 км (АВВГ 4х35)</v>
      </c>
      <c r="C76" s="502" t="str">
        <f>1!C80</f>
        <v>G_Gelezno_ТР27</v>
      </c>
      <c r="D76" s="91" t="s">
        <v>268</v>
      </c>
      <c r="E76" s="91">
        <v>2017</v>
      </c>
      <c r="F76" s="91">
        <v>2017</v>
      </c>
      <c r="G76" s="91"/>
      <c r="H76" s="121" t="s">
        <v>368</v>
      </c>
      <c r="I76" s="453">
        <f t="shared" si="44"/>
        <v>0.012943679599999999</v>
      </c>
      <c r="J76" s="123">
        <v>42739</v>
      </c>
      <c r="K76" s="91"/>
      <c r="L76" s="452">
        <f>0.01096922*1.18</f>
        <v>0.012943679599999999</v>
      </c>
      <c r="M76" s="123">
        <f t="shared" si="45"/>
        <v>42739</v>
      </c>
      <c r="N76" s="91"/>
      <c r="O76" s="91"/>
      <c r="P76" s="124">
        <f t="shared" si="46"/>
        <v>0.012943679599999999</v>
      </c>
      <c r="Q76" s="124">
        <f t="shared" si="47"/>
        <v>0.012943679599999999</v>
      </c>
      <c r="R76" s="124">
        <f t="shared" si="48"/>
        <v>0.012943679599999999</v>
      </c>
      <c r="S76" s="124">
        <f t="shared" si="49"/>
        <v>0.012943679599999999</v>
      </c>
      <c r="T76" s="121">
        <f t="shared" si="50"/>
        <v>0.012943679599999999</v>
      </c>
      <c r="U76" s="124">
        <f t="shared" si="51"/>
        <v>0.012943679599999999</v>
      </c>
      <c r="V76" s="124"/>
      <c r="W76" s="124"/>
      <c r="X76" s="91"/>
      <c r="Y76" s="124">
        <f t="shared" si="52"/>
        <v>0.012943679599999999</v>
      </c>
      <c r="Z76" s="124"/>
      <c r="AA76" s="124"/>
      <c r="AB76" s="124"/>
      <c r="AC76" s="121">
        <f t="shared" si="40"/>
        <v>0.012943679599999999</v>
      </c>
      <c r="AD76" s="124">
        <f t="shared" si="53"/>
        <v>0.012943679599999999</v>
      </c>
      <c r="AE76" s="377"/>
      <c r="AF76" s="377"/>
      <c r="AG76" s="124"/>
      <c r="AH76" s="124">
        <f t="shared" si="41"/>
        <v>0.012943679599999999</v>
      </c>
      <c r="AI76" s="124">
        <f t="shared" si="54"/>
        <v>0.012943679599999999</v>
      </c>
      <c r="AJ76" s="124"/>
      <c r="AK76" s="124"/>
      <c r="AL76" s="124"/>
      <c r="AM76" s="124">
        <f t="shared" si="42"/>
        <v>0.012943679599999999</v>
      </c>
      <c r="AN76" s="124">
        <f t="shared" si="55"/>
        <v>0.012943679599999999</v>
      </c>
      <c r="AO76" s="377"/>
      <c r="AP76" s="377"/>
      <c r="AQ76" s="124"/>
      <c r="AR76" s="124">
        <f t="shared" si="43"/>
        <v>0.012943679599999999</v>
      </c>
      <c r="AS76" s="206" t="s">
        <v>247</v>
      </c>
    </row>
    <row r="77" spans="1:45" s="2" customFormat="1" ht="47.25">
      <c r="A77" s="205" t="str">
        <f>1!A81</f>
        <v>1.4.2.28</v>
      </c>
      <c r="B77" s="120" t="str">
        <f>1!B81</f>
        <v>Строительство КЛ-0,4 кВ от ВРУ-3 МКЖД до РУ-0,4 кВ КТП-248 ул.Тихая,8, п.Иноземцево, L= 0,107 км (АВВГ 4х35)</v>
      </c>
      <c r="C77" s="502" t="str">
        <f>1!C81</f>
        <v>G_Gelezno_ТР28</v>
      </c>
      <c r="D77" s="91" t="s">
        <v>268</v>
      </c>
      <c r="E77" s="91">
        <v>2017</v>
      </c>
      <c r="F77" s="91">
        <v>2017</v>
      </c>
      <c r="G77" s="91"/>
      <c r="H77" s="121" t="s">
        <v>368</v>
      </c>
      <c r="I77" s="453">
        <f t="shared" si="44"/>
        <v>0.048633369600000004</v>
      </c>
      <c r="J77" s="123">
        <v>42739</v>
      </c>
      <c r="K77" s="91"/>
      <c r="L77" s="452">
        <f>0.04121472*1.18</f>
        <v>0.048633369600000004</v>
      </c>
      <c r="M77" s="123">
        <f t="shared" si="45"/>
        <v>42739</v>
      </c>
      <c r="N77" s="91"/>
      <c r="O77" s="91"/>
      <c r="P77" s="124">
        <f t="shared" si="46"/>
        <v>0.048633369600000004</v>
      </c>
      <c r="Q77" s="124">
        <f t="shared" si="47"/>
        <v>0.048633369600000004</v>
      </c>
      <c r="R77" s="124">
        <f t="shared" si="48"/>
        <v>0.048633369600000004</v>
      </c>
      <c r="S77" s="124">
        <f t="shared" si="49"/>
        <v>0.048633369600000004</v>
      </c>
      <c r="T77" s="121">
        <f t="shared" si="50"/>
        <v>0.048633369600000004</v>
      </c>
      <c r="U77" s="124">
        <f t="shared" si="51"/>
        <v>0.048633369600000004</v>
      </c>
      <c r="V77" s="124"/>
      <c r="W77" s="124"/>
      <c r="X77" s="91"/>
      <c r="Y77" s="124">
        <f t="shared" si="52"/>
        <v>0.048633369600000004</v>
      </c>
      <c r="Z77" s="124"/>
      <c r="AA77" s="124"/>
      <c r="AB77" s="124"/>
      <c r="AC77" s="121">
        <f t="shared" si="40"/>
        <v>0.048633369600000004</v>
      </c>
      <c r="AD77" s="124">
        <f t="shared" si="53"/>
        <v>0.048633369600000004</v>
      </c>
      <c r="AE77" s="377"/>
      <c r="AF77" s="377"/>
      <c r="AG77" s="124"/>
      <c r="AH77" s="124">
        <f t="shared" si="41"/>
        <v>0.048633369600000004</v>
      </c>
      <c r="AI77" s="124">
        <f t="shared" si="54"/>
        <v>0.048633369600000004</v>
      </c>
      <c r="AJ77" s="124"/>
      <c r="AK77" s="124"/>
      <c r="AL77" s="124"/>
      <c r="AM77" s="124">
        <f t="shared" si="42"/>
        <v>0.048633369600000004</v>
      </c>
      <c r="AN77" s="124">
        <f t="shared" si="55"/>
        <v>0.048633369600000004</v>
      </c>
      <c r="AO77" s="377"/>
      <c r="AP77" s="377"/>
      <c r="AQ77" s="124"/>
      <c r="AR77" s="124">
        <f t="shared" si="43"/>
        <v>0.048633369600000004</v>
      </c>
      <c r="AS77" s="206" t="s">
        <v>247</v>
      </c>
    </row>
    <row r="78" spans="1:45" s="2" customFormat="1" ht="47.25">
      <c r="A78" s="205" t="str">
        <f>1!A82</f>
        <v>1.4.2.29</v>
      </c>
      <c r="B78" s="120" t="str">
        <f>1!B82</f>
        <v>Строительство КЛ-0,4 кВ от РУ-0,4 кВ КТП-248 до ВРУ-1 МКЖД ул.Тихая,8, п.Иноземцево, L= 0,102 км (АВВГ 4х35)</v>
      </c>
      <c r="C78" s="502" t="str">
        <f>1!C82</f>
        <v>G_Gelezno_ТР29</v>
      </c>
      <c r="D78" s="91" t="s">
        <v>268</v>
      </c>
      <c r="E78" s="91">
        <v>2017</v>
      </c>
      <c r="F78" s="91">
        <v>2017</v>
      </c>
      <c r="G78" s="91"/>
      <c r="H78" s="121" t="s">
        <v>368</v>
      </c>
      <c r="I78" s="453">
        <f t="shared" si="44"/>
        <v>0.046671961799999995</v>
      </c>
      <c r="J78" s="123">
        <v>42739</v>
      </c>
      <c r="K78" s="91"/>
      <c r="L78" s="452">
        <f>0.03955251*1.18</f>
        <v>0.046671961799999995</v>
      </c>
      <c r="M78" s="123">
        <f t="shared" si="45"/>
        <v>42739</v>
      </c>
      <c r="N78" s="91"/>
      <c r="O78" s="91"/>
      <c r="P78" s="124">
        <f t="shared" si="46"/>
        <v>0.046671961799999995</v>
      </c>
      <c r="Q78" s="124">
        <f t="shared" si="47"/>
        <v>0.046671961799999995</v>
      </c>
      <c r="R78" s="124">
        <f t="shared" si="48"/>
        <v>0.046671961799999995</v>
      </c>
      <c r="S78" s="124">
        <f t="shared" si="49"/>
        <v>0.046671961799999995</v>
      </c>
      <c r="T78" s="121">
        <f t="shared" si="50"/>
        <v>0.046671961799999995</v>
      </c>
      <c r="U78" s="124">
        <f t="shared" si="51"/>
        <v>0.046671961799999995</v>
      </c>
      <c r="V78" s="124"/>
      <c r="W78" s="124"/>
      <c r="X78" s="91"/>
      <c r="Y78" s="124">
        <f t="shared" si="52"/>
        <v>0.046671961799999995</v>
      </c>
      <c r="Z78" s="124"/>
      <c r="AA78" s="124"/>
      <c r="AB78" s="124"/>
      <c r="AC78" s="121">
        <f t="shared" si="40"/>
        <v>0.046671961799999995</v>
      </c>
      <c r="AD78" s="124">
        <f t="shared" si="53"/>
        <v>0.046671961799999995</v>
      </c>
      <c r="AE78" s="377"/>
      <c r="AF78" s="377"/>
      <c r="AG78" s="124"/>
      <c r="AH78" s="124">
        <f t="shared" si="41"/>
        <v>0.046671961799999995</v>
      </c>
      <c r="AI78" s="124">
        <f t="shared" si="54"/>
        <v>0.046671961799999995</v>
      </c>
      <c r="AJ78" s="124"/>
      <c r="AK78" s="124"/>
      <c r="AL78" s="124"/>
      <c r="AM78" s="124">
        <f t="shared" si="42"/>
        <v>0.046671961799999995</v>
      </c>
      <c r="AN78" s="124">
        <f t="shared" si="55"/>
        <v>0.046671961799999995</v>
      </c>
      <c r="AO78" s="377"/>
      <c r="AP78" s="377"/>
      <c r="AQ78" s="124"/>
      <c r="AR78" s="124">
        <f t="shared" si="43"/>
        <v>0.046671961799999995</v>
      </c>
      <c r="AS78" s="206" t="s">
        <v>247</v>
      </c>
    </row>
    <row r="79" spans="1:45" s="2" customFormat="1" ht="47.25">
      <c r="A79" s="205" t="str">
        <f>1!A83</f>
        <v>1.4.2.30</v>
      </c>
      <c r="B79" s="120" t="str">
        <f>1!B83</f>
        <v>Строительство КЛ-0,4 кВ от РУ-0,4 кВ КТП-105 до РЩ МКЖД ул.Октябрьская,96 Б, г.Железноводск, L= 0,186 км (АВБбШВ 4х95)</v>
      </c>
      <c r="C79" s="502" t="str">
        <f>1!C83</f>
        <v>G_Gelezno_ТР30</v>
      </c>
      <c r="D79" s="91" t="s">
        <v>268</v>
      </c>
      <c r="E79" s="91">
        <v>2017</v>
      </c>
      <c r="F79" s="91">
        <v>2017</v>
      </c>
      <c r="G79" s="91"/>
      <c r="H79" s="121" t="s">
        <v>368</v>
      </c>
      <c r="I79" s="453">
        <f t="shared" si="44"/>
        <v>0.15343983679999998</v>
      </c>
      <c r="J79" s="123">
        <v>42739</v>
      </c>
      <c r="K79" s="91"/>
      <c r="L79" s="452">
        <f>0.13003376*1.18</f>
        <v>0.15343983679999998</v>
      </c>
      <c r="M79" s="123">
        <f t="shared" si="45"/>
        <v>42739</v>
      </c>
      <c r="N79" s="91"/>
      <c r="O79" s="91"/>
      <c r="P79" s="124">
        <f t="shared" si="46"/>
        <v>0.15343983679999998</v>
      </c>
      <c r="Q79" s="124">
        <f t="shared" si="47"/>
        <v>0.15343983679999998</v>
      </c>
      <c r="R79" s="124">
        <f t="shared" si="48"/>
        <v>0.15343983679999998</v>
      </c>
      <c r="S79" s="124">
        <f t="shared" si="49"/>
        <v>0.15343983679999998</v>
      </c>
      <c r="T79" s="121">
        <f t="shared" si="50"/>
        <v>0.15343983679999998</v>
      </c>
      <c r="U79" s="124">
        <f t="shared" si="51"/>
        <v>0.15343983679999998</v>
      </c>
      <c r="V79" s="124"/>
      <c r="W79" s="124"/>
      <c r="X79" s="91"/>
      <c r="Y79" s="124">
        <f t="shared" si="52"/>
        <v>0.15343983679999998</v>
      </c>
      <c r="Z79" s="124"/>
      <c r="AA79" s="124"/>
      <c r="AB79" s="124"/>
      <c r="AC79" s="121">
        <f t="shared" si="40"/>
        <v>0.15343983679999998</v>
      </c>
      <c r="AD79" s="124">
        <f t="shared" si="53"/>
        <v>0.15343983679999998</v>
      </c>
      <c r="AE79" s="377"/>
      <c r="AF79" s="377"/>
      <c r="AG79" s="124"/>
      <c r="AH79" s="124">
        <f t="shared" si="41"/>
        <v>0.15343983679999998</v>
      </c>
      <c r="AI79" s="124">
        <f t="shared" si="54"/>
        <v>0.15343983679999998</v>
      </c>
      <c r="AJ79" s="124"/>
      <c r="AK79" s="124"/>
      <c r="AL79" s="124"/>
      <c r="AM79" s="124">
        <f t="shared" si="42"/>
        <v>0.15343983679999998</v>
      </c>
      <c r="AN79" s="124">
        <f t="shared" si="55"/>
        <v>0.15343983679999998</v>
      </c>
      <c r="AO79" s="377"/>
      <c r="AP79" s="377"/>
      <c r="AQ79" s="124"/>
      <c r="AR79" s="124">
        <f t="shared" si="43"/>
        <v>0.15343983679999998</v>
      </c>
      <c r="AS79" s="206" t="s">
        <v>247</v>
      </c>
    </row>
    <row r="80" spans="1:45" s="2" customFormat="1" ht="47.25">
      <c r="A80" s="205" t="str">
        <f>1!A84</f>
        <v>1.4.2.31</v>
      </c>
      <c r="B80" s="120" t="str">
        <f>1!B84</f>
        <v>Строительство КЛ-0,4 кВ от ВРУ-12 до ВРУ-2 в ЖК "Вишнёвый сад" (2-ая очередь), п.Иноземцево, L= 0,1 км (АВБбШВ 4х150)</v>
      </c>
      <c r="C80" s="502" t="str">
        <f>1!C84</f>
        <v>G_Gelezno_ТР31</v>
      </c>
      <c r="D80" s="91" t="s">
        <v>268</v>
      </c>
      <c r="E80" s="91">
        <v>2017</v>
      </c>
      <c r="F80" s="91">
        <v>2017</v>
      </c>
      <c r="G80" s="91"/>
      <c r="H80" s="121" t="s">
        <v>368</v>
      </c>
      <c r="I80" s="453">
        <f aca="true" t="shared" si="56" ref="I80:I86">L80</f>
        <v>0.11731838</v>
      </c>
      <c r="J80" s="123">
        <v>42739</v>
      </c>
      <c r="K80" s="91"/>
      <c r="L80" s="452">
        <f>0.11731838</f>
        <v>0.11731838</v>
      </c>
      <c r="M80" s="123">
        <f aca="true" t="shared" si="57" ref="M80:M86">J80</f>
        <v>42739</v>
      </c>
      <c r="N80" s="91"/>
      <c r="O80" s="91"/>
      <c r="P80" s="124">
        <f aca="true" t="shared" si="58" ref="P80:P86">I80</f>
        <v>0.11731838</v>
      </c>
      <c r="Q80" s="124">
        <f aca="true" t="shared" si="59" ref="Q80:Q86">I80</f>
        <v>0.11731838</v>
      </c>
      <c r="R80" s="124">
        <f aca="true" t="shared" si="60" ref="R80:R86">L80</f>
        <v>0.11731838</v>
      </c>
      <c r="S80" s="124">
        <f aca="true" t="shared" si="61" ref="S80:S86">L80</f>
        <v>0.11731838</v>
      </c>
      <c r="T80" s="121">
        <f aca="true" t="shared" si="62" ref="T80:T86">I80</f>
        <v>0.11731838</v>
      </c>
      <c r="U80" s="124">
        <f aca="true" t="shared" si="63" ref="U80:U86">L80</f>
        <v>0.11731838</v>
      </c>
      <c r="V80" s="124"/>
      <c r="W80" s="124"/>
      <c r="X80" s="91"/>
      <c r="Y80" s="124">
        <f aca="true" t="shared" si="64" ref="Y80:Y86">I80</f>
        <v>0.11731838</v>
      </c>
      <c r="Z80" s="124"/>
      <c r="AA80" s="124"/>
      <c r="AB80" s="124"/>
      <c r="AC80" s="121">
        <f t="shared" si="40"/>
        <v>0.11731838</v>
      </c>
      <c r="AD80" s="124">
        <f aca="true" t="shared" si="65" ref="AD80:AD86">AE80+AF80+AG80+AH80</f>
        <v>0.11731838</v>
      </c>
      <c r="AE80" s="377"/>
      <c r="AF80" s="377"/>
      <c r="AG80" s="124"/>
      <c r="AH80" s="124">
        <f t="shared" si="41"/>
        <v>0.11731838</v>
      </c>
      <c r="AI80" s="124">
        <f aca="true" t="shared" si="66" ref="AI80:AI86">I80</f>
        <v>0.11731838</v>
      </c>
      <c r="AJ80" s="124"/>
      <c r="AK80" s="124"/>
      <c r="AL80" s="124"/>
      <c r="AM80" s="124">
        <f t="shared" si="42"/>
        <v>0.11731838</v>
      </c>
      <c r="AN80" s="124">
        <f aca="true" t="shared" si="67" ref="AN80:AN86">L80</f>
        <v>0.11731838</v>
      </c>
      <c r="AO80" s="377"/>
      <c r="AP80" s="377"/>
      <c r="AQ80" s="124"/>
      <c r="AR80" s="124">
        <f t="shared" si="43"/>
        <v>0.11731838</v>
      </c>
      <c r="AS80" s="206" t="s">
        <v>247</v>
      </c>
    </row>
    <row r="81" spans="1:45" s="2" customFormat="1" ht="47.25">
      <c r="A81" s="205" t="str">
        <f>1!A85</f>
        <v>1.4.2.32</v>
      </c>
      <c r="B81" s="120" t="str">
        <f>1!B85</f>
        <v>Строительство КЛ-0,4кВ от ВРУ-16 до ВРУ-10 в ЖК"Вишнёвый сад" (2-ая очередь), п.Иноземцево, L= 0,035 км (АВБбШВ 4х95)</v>
      </c>
      <c r="C81" s="502" t="str">
        <f>1!C85</f>
        <v>G_Gelezno_ТР32</v>
      </c>
      <c r="D81" s="91" t="s">
        <v>268</v>
      </c>
      <c r="E81" s="91">
        <v>2017</v>
      </c>
      <c r="F81" s="91">
        <v>2017</v>
      </c>
      <c r="G81" s="91"/>
      <c r="H81" s="121" t="s">
        <v>368</v>
      </c>
      <c r="I81" s="453">
        <f t="shared" si="56"/>
        <v>0.04696934</v>
      </c>
      <c r="J81" s="123">
        <v>42739</v>
      </c>
      <c r="K81" s="91"/>
      <c r="L81" s="452">
        <f>0.04696934</f>
        <v>0.04696934</v>
      </c>
      <c r="M81" s="123">
        <f t="shared" si="57"/>
        <v>42739</v>
      </c>
      <c r="N81" s="91"/>
      <c r="O81" s="91"/>
      <c r="P81" s="124">
        <f t="shared" si="58"/>
        <v>0.04696934</v>
      </c>
      <c r="Q81" s="124">
        <f t="shared" si="59"/>
        <v>0.04696934</v>
      </c>
      <c r="R81" s="124">
        <f t="shared" si="60"/>
        <v>0.04696934</v>
      </c>
      <c r="S81" s="124">
        <f t="shared" si="61"/>
        <v>0.04696934</v>
      </c>
      <c r="T81" s="121">
        <f t="shared" si="62"/>
        <v>0.04696934</v>
      </c>
      <c r="U81" s="124">
        <f t="shared" si="63"/>
        <v>0.04696934</v>
      </c>
      <c r="V81" s="124"/>
      <c r="W81" s="124"/>
      <c r="X81" s="91"/>
      <c r="Y81" s="124">
        <f t="shared" si="64"/>
        <v>0.04696934</v>
      </c>
      <c r="Z81" s="124"/>
      <c r="AA81" s="124"/>
      <c r="AB81" s="124"/>
      <c r="AC81" s="121">
        <f t="shared" si="40"/>
        <v>0.04696934</v>
      </c>
      <c r="AD81" s="124">
        <f t="shared" si="65"/>
        <v>0.04696934</v>
      </c>
      <c r="AE81" s="377"/>
      <c r="AF81" s="377"/>
      <c r="AG81" s="124"/>
      <c r="AH81" s="124">
        <f t="shared" si="41"/>
        <v>0.04696934</v>
      </c>
      <c r="AI81" s="124">
        <f t="shared" si="66"/>
        <v>0.04696934</v>
      </c>
      <c r="AJ81" s="124"/>
      <c r="AK81" s="124"/>
      <c r="AL81" s="124"/>
      <c r="AM81" s="124">
        <f t="shared" si="42"/>
        <v>0.04696934</v>
      </c>
      <c r="AN81" s="124">
        <f t="shared" si="67"/>
        <v>0.04696934</v>
      </c>
      <c r="AO81" s="377"/>
      <c r="AP81" s="377"/>
      <c r="AQ81" s="124"/>
      <c r="AR81" s="124">
        <f t="shared" si="43"/>
        <v>0.04696934</v>
      </c>
      <c r="AS81" s="206" t="s">
        <v>247</v>
      </c>
    </row>
    <row r="82" spans="1:45" s="2" customFormat="1" ht="47.25">
      <c r="A82" s="205" t="str">
        <f>1!A86</f>
        <v>1.4.2.33</v>
      </c>
      <c r="B82" s="120" t="str">
        <f>1!B86</f>
        <v>Строительство КЛ-0,4 кВ от опоры ВЛ-0,4 кВ № 21 до ВРУ-1 в ЖК "Вишнёвый сад" (2-ая очередь), п.Иноземцево, L= 0,05 км (АВБбШВ 4х120)</v>
      </c>
      <c r="C82" s="502" t="str">
        <f>1!C86</f>
        <v>G_Gelezno_ТР33</v>
      </c>
      <c r="D82" s="91" t="s">
        <v>268</v>
      </c>
      <c r="E82" s="91">
        <v>2017</v>
      </c>
      <c r="F82" s="91">
        <v>2017</v>
      </c>
      <c r="G82" s="91"/>
      <c r="H82" s="121" t="s">
        <v>368</v>
      </c>
      <c r="I82" s="453">
        <f t="shared" si="56"/>
        <v>0.06008357</v>
      </c>
      <c r="J82" s="123">
        <v>42739</v>
      </c>
      <c r="K82" s="91"/>
      <c r="L82" s="452">
        <f>0.06008357</f>
        <v>0.06008357</v>
      </c>
      <c r="M82" s="123">
        <f t="shared" si="57"/>
        <v>42739</v>
      </c>
      <c r="N82" s="91"/>
      <c r="O82" s="91"/>
      <c r="P82" s="124">
        <f t="shared" si="58"/>
        <v>0.06008357</v>
      </c>
      <c r="Q82" s="124">
        <f t="shared" si="59"/>
        <v>0.06008357</v>
      </c>
      <c r="R82" s="124">
        <f t="shared" si="60"/>
        <v>0.06008357</v>
      </c>
      <c r="S82" s="124">
        <f t="shared" si="61"/>
        <v>0.06008357</v>
      </c>
      <c r="T82" s="121">
        <f t="shared" si="62"/>
        <v>0.06008357</v>
      </c>
      <c r="U82" s="124">
        <f t="shared" si="63"/>
        <v>0.06008357</v>
      </c>
      <c r="V82" s="124"/>
      <c r="W82" s="124"/>
      <c r="X82" s="91"/>
      <c r="Y82" s="124">
        <f t="shared" si="64"/>
        <v>0.06008357</v>
      </c>
      <c r="Z82" s="124"/>
      <c r="AA82" s="124"/>
      <c r="AB82" s="124"/>
      <c r="AC82" s="121">
        <f t="shared" si="40"/>
        <v>0.06008357</v>
      </c>
      <c r="AD82" s="124">
        <f t="shared" si="65"/>
        <v>0.06008357</v>
      </c>
      <c r="AE82" s="377"/>
      <c r="AF82" s="377"/>
      <c r="AG82" s="124"/>
      <c r="AH82" s="124">
        <f t="shared" si="41"/>
        <v>0.06008357</v>
      </c>
      <c r="AI82" s="124">
        <f t="shared" si="66"/>
        <v>0.06008357</v>
      </c>
      <c r="AJ82" s="124"/>
      <c r="AK82" s="124"/>
      <c r="AL82" s="124"/>
      <c r="AM82" s="124">
        <f t="shared" si="42"/>
        <v>0.06008357</v>
      </c>
      <c r="AN82" s="124">
        <f t="shared" si="67"/>
        <v>0.06008357</v>
      </c>
      <c r="AO82" s="377"/>
      <c r="AP82" s="377"/>
      <c r="AQ82" s="124"/>
      <c r="AR82" s="124">
        <f t="shared" si="43"/>
        <v>0.06008357</v>
      </c>
      <c r="AS82" s="206" t="s">
        <v>247</v>
      </c>
    </row>
    <row r="83" spans="1:45" s="2" customFormat="1" ht="47.25">
      <c r="A83" s="205" t="str">
        <f>1!A87</f>
        <v>1.4.2.34</v>
      </c>
      <c r="B83" s="120" t="str">
        <f>1!B87</f>
        <v>Строительство КЛ-0,4 кВ от РУ-0,4 кВ 2КТП-244 до ВРУ-12 в ЖК "Вишнёвый сад" (2-ая очередь), п.Иноземцево, L= 0,17 км (АВБбШВ 4х185) км</v>
      </c>
      <c r="C83" s="502" t="str">
        <f>1!C87</f>
        <v>G_Gelezno_ТР34</v>
      </c>
      <c r="D83" s="91" t="s">
        <v>268</v>
      </c>
      <c r="E83" s="91">
        <v>2017</v>
      </c>
      <c r="F83" s="91">
        <v>2017</v>
      </c>
      <c r="G83" s="91"/>
      <c r="H83" s="121" t="s">
        <v>368</v>
      </c>
      <c r="I83" s="453">
        <f t="shared" si="56"/>
        <v>0.22782302</v>
      </c>
      <c r="J83" s="123">
        <v>42739</v>
      </c>
      <c r="K83" s="91"/>
      <c r="L83" s="452">
        <f>0.22782302</f>
        <v>0.22782302</v>
      </c>
      <c r="M83" s="123">
        <f t="shared" si="57"/>
        <v>42739</v>
      </c>
      <c r="N83" s="91"/>
      <c r="O83" s="91"/>
      <c r="P83" s="124">
        <f t="shared" si="58"/>
        <v>0.22782302</v>
      </c>
      <c r="Q83" s="124">
        <f t="shared" si="59"/>
        <v>0.22782302</v>
      </c>
      <c r="R83" s="124">
        <f t="shared" si="60"/>
        <v>0.22782302</v>
      </c>
      <c r="S83" s="124">
        <f t="shared" si="61"/>
        <v>0.22782302</v>
      </c>
      <c r="T83" s="121">
        <f t="shared" si="62"/>
        <v>0.22782302</v>
      </c>
      <c r="U83" s="124">
        <f t="shared" si="63"/>
        <v>0.22782302</v>
      </c>
      <c r="V83" s="124"/>
      <c r="W83" s="124"/>
      <c r="X83" s="91"/>
      <c r="Y83" s="124">
        <f t="shared" si="64"/>
        <v>0.22782302</v>
      </c>
      <c r="Z83" s="124"/>
      <c r="AA83" s="124"/>
      <c r="AB83" s="124"/>
      <c r="AC83" s="121">
        <f t="shared" si="40"/>
        <v>0.22782302</v>
      </c>
      <c r="AD83" s="124">
        <f t="shared" si="65"/>
        <v>0.22782302</v>
      </c>
      <c r="AE83" s="377"/>
      <c r="AF83" s="377"/>
      <c r="AG83" s="124"/>
      <c r="AH83" s="124">
        <f t="shared" si="41"/>
        <v>0.22782302</v>
      </c>
      <c r="AI83" s="124">
        <f t="shared" si="66"/>
        <v>0.22782302</v>
      </c>
      <c r="AJ83" s="124"/>
      <c r="AK83" s="124"/>
      <c r="AL83" s="124"/>
      <c r="AM83" s="124">
        <f t="shared" si="42"/>
        <v>0.22782302</v>
      </c>
      <c r="AN83" s="124">
        <f t="shared" si="67"/>
        <v>0.22782302</v>
      </c>
      <c r="AO83" s="377"/>
      <c r="AP83" s="377"/>
      <c r="AQ83" s="124"/>
      <c r="AR83" s="124">
        <f t="shared" si="43"/>
        <v>0.22782302</v>
      </c>
      <c r="AS83" s="206" t="s">
        <v>247</v>
      </c>
    </row>
    <row r="84" spans="1:45" s="2" customFormat="1" ht="47.25">
      <c r="A84" s="205" t="str">
        <f>1!A88</f>
        <v>1.4.2.35</v>
      </c>
      <c r="B84" s="120" t="str">
        <f>1!B88</f>
        <v>Строительство КЛ-0,4 кВ от РУ-0,4 кВ 2КТП-244 до ВРУ-15 в ЖК "Вишнёвый сад" (2-ая очередь), п.Иноземцево, L= 0,08 км (АВБбШВ 4х95)</v>
      </c>
      <c r="C84" s="502" t="str">
        <f>1!C88</f>
        <v>G_Gelezno_ТР35</v>
      </c>
      <c r="D84" s="91" t="s">
        <v>268</v>
      </c>
      <c r="E84" s="91">
        <v>2017</v>
      </c>
      <c r="F84" s="91">
        <v>2017</v>
      </c>
      <c r="G84" s="91"/>
      <c r="H84" s="121" t="s">
        <v>368</v>
      </c>
      <c r="I84" s="453">
        <f t="shared" si="56"/>
        <v>0.08915185</v>
      </c>
      <c r="J84" s="123">
        <v>42739</v>
      </c>
      <c r="K84" s="91"/>
      <c r="L84" s="452">
        <f>0.08915185</f>
        <v>0.08915185</v>
      </c>
      <c r="M84" s="123">
        <f t="shared" si="57"/>
        <v>42739</v>
      </c>
      <c r="N84" s="91"/>
      <c r="O84" s="91"/>
      <c r="P84" s="124">
        <f t="shared" si="58"/>
        <v>0.08915185</v>
      </c>
      <c r="Q84" s="124">
        <f t="shared" si="59"/>
        <v>0.08915185</v>
      </c>
      <c r="R84" s="124">
        <f t="shared" si="60"/>
        <v>0.08915185</v>
      </c>
      <c r="S84" s="124">
        <f t="shared" si="61"/>
        <v>0.08915185</v>
      </c>
      <c r="T84" s="121">
        <f t="shared" si="62"/>
        <v>0.08915185</v>
      </c>
      <c r="U84" s="124">
        <f t="shared" si="63"/>
        <v>0.08915185</v>
      </c>
      <c r="V84" s="124"/>
      <c r="W84" s="124"/>
      <c r="X84" s="91"/>
      <c r="Y84" s="124">
        <f t="shared" si="64"/>
        <v>0.08915185</v>
      </c>
      <c r="Z84" s="124"/>
      <c r="AA84" s="124"/>
      <c r="AB84" s="124"/>
      <c r="AC84" s="121">
        <f t="shared" si="40"/>
        <v>0.08915185</v>
      </c>
      <c r="AD84" s="124">
        <f t="shared" si="65"/>
        <v>0.08915185</v>
      </c>
      <c r="AE84" s="377"/>
      <c r="AF84" s="377"/>
      <c r="AG84" s="124"/>
      <c r="AH84" s="124">
        <f t="shared" si="41"/>
        <v>0.08915185</v>
      </c>
      <c r="AI84" s="124">
        <f t="shared" si="66"/>
        <v>0.08915185</v>
      </c>
      <c r="AJ84" s="124"/>
      <c r="AK84" s="124"/>
      <c r="AL84" s="124"/>
      <c r="AM84" s="124">
        <f t="shared" si="42"/>
        <v>0.08915185</v>
      </c>
      <c r="AN84" s="124">
        <f t="shared" si="67"/>
        <v>0.08915185</v>
      </c>
      <c r="AO84" s="377"/>
      <c r="AP84" s="377"/>
      <c r="AQ84" s="124"/>
      <c r="AR84" s="124">
        <f t="shared" si="43"/>
        <v>0.08915185</v>
      </c>
      <c r="AS84" s="206" t="s">
        <v>247</v>
      </c>
    </row>
    <row r="85" spans="1:45" s="2" customFormat="1" ht="47.25">
      <c r="A85" s="205" t="str">
        <f>1!A89</f>
        <v>1.4.2.36</v>
      </c>
      <c r="B85" s="120" t="str">
        <f>1!B89</f>
        <v>Строительство ВЛ-0,4 кВ от РУ-0,4 кВ КТП-241 ЖК "Вишнёвый сад" (2-ая очередь), п.Иноземцево, СИП-2 3х150+1х95 - 0,204 км СИП-2 3х120+1х95 - 0,275 км и СИП-2 3х95+1х70 - 0,408 км</v>
      </c>
      <c r="C85" s="502" t="str">
        <f>1!C89</f>
        <v>G_Gelezno_ТР36</v>
      </c>
      <c r="D85" s="91" t="s">
        <v>268</v>
      </c>
      <c r="E85" s="91">
        <v>2017</v>
      </c>
      <c r="F85" s="91">
        <v>2017</v>
      </c>
      <c r="G85" s="91"/>
      <c r="H85" s="121" t="s">
        <v>368</v>
      </c>
      <c r="I85" s="453">
        <f t="shared" si="56"/>
        <v>1.23239373</v>
      </c>
      <c r="J85" s="123">
        <v>42739</v>
      </c>
      <c r="K85" s="91"/>
      <c r="L85" s="452">
        <f>1.23239373</f>
        <v>1.23239373</v>
      </c>
      <c r="M85" s="123">
        <f t="shared" si="57"/>
        <v>42739</v>
      </c>
      <c r="N85" s="91"/>
      <c r="O85" s="91"/>
      <c r="P85" s="124">
        <f t="shared" si="58"/>
        <v>1.23239373</v>
      </c>
      <c r="Q85" s="124">
        <f t="shared" si="59"/>
        <v>1.23239373</v>
      </c>
      <c r="R85" s="124">
        <f t="shared" si="60"/>
        <v>1.23239373</v>
      </c>
      <c r="S85" s="124">
        <f t="shared" si="61"/>
        <v>1.23239373</v>
      </c>
      <c r="T85" s="121">
        <f t="shared" si="62"/>
        <v>1.23239373</v>
      </c>
      <c r="U85" s="124">
        <f t="shared" si="63"/>
        <v>1.23239373</v>
      </c>
      <c r="V85" s="124"/>
      <c r="W85" s="124"/>
      <c r="X85" s="91"/>
      <c r="Y85" s="124">
        <f t="shared" si="64"/>
        <v>1.23239373</v>
      </c>
      <c r="Z85" s="124"/>
      <c r="AA85" s="124"/>
      <c r="AB85" s="124"/>
      <c r="AC85" s="121">
        <f t="shared" si="40"/>
        <v>1.23239373</v>
      </c>
      <c r="AD85" s="124">
        <f t="shared" si="65"/>
        <v>1.23239373</v>
      </c>
      <c r="AE85" s="377"/>
      <c r="AF85" s="377"/>
      <c r="AG85" s="124"/>
      <c r="AH85" s="124">
        <f t="shared" si="41"/>
        <v>1.23239373</v>
      </c>
      <c r="AI85" s="124">
        <f t="shared" si="66"/>
        <v>1.23239373</v>
      </c>
      <c r="AJ85" s="124"/>
      <c r="AK85" s="124"/>
      <c r="AL85" s="124"/>
      <c r="AM85" s="124">
        <f t="shared" si="42"/>
        <v>1.23239373</v>
      </c>
      <c r="AN85" s="124">
        <f t="shared" si="67"/>
        <v>1.23239373</v>
      </c>
      <c r="AO85" s="377"/>
      <c r="AP85" s="377"/>
      <c r="AQ85" s="124"/>
      <c r="AR85" s="124">
        <f t="shared" si="43"/>
        <v>1.23239373</v>
      </c>
      <c r="AS85" s="206" t="s">
        <v>247</v>
      </c>
    </row>
    <row r="86" spans="1:45" s="2" customFormat="1" ht="47.25">
      <c r="A86" s="205" t="str">
        <f>1!A90</f>
        <v>1.4.2.37</v>
      </c>
      <c r="B86" s="120" t="str">
        <f>1!B90</f>
        <v>Строительство КТП-249 пер.Промышленный,24, п.Иноземцево (ТМГ-630 кВА)(Линия 2), L=0,143 км</v>
      </c>
      <c r="C86" s="502" t="str">
        <f>1!C90</f>
        <v>G_Gelezno_ТР37</v>
      </c>
      <c r="D86" s="91" t="s">
        <v>268</v>
      </c>
      <c r="E86" s="91">
        <v>2017</v>
      </c>
      <c r="F86" s="91">
        <v>2017</v>
      </c>
      <c r="G86" s="91"/>
      <c r="H86" s="121" t="s">
        <v>368</v>
      </c>
      <c r="I86" s="453">
        <f t="shared" si="56"/>
        <v>1.6791935247999998</v>
      </c>
      <c r="J86" s="123">
        <v>42740</v>
      </c>
      <c r="K86" s="91"/>
      <c r="L86" s="452">
        <f>1.42304536*1.18</f>
        <v>1.6791935247999998</v>
      </c>
      <c r="M86" s="123">
        <f t="shared" si="57"/>
        <v>42740</v>
      </c>
      <c r="N86" s="91"/>
      <c r="O86" s="91"/>
      <c r="P86" s="124">
        <f t="shared" si="58"/>
        <v>1.6791935247999998</v>
      </c>
      <c r="Q86" s="124">
        <f t="shared" si="59"/>
        <v>1.6791935247999998</v>
      </c>
      <c r="R86" s="124">
        <f t="shared" si="60"/>
        <v>1.6791935247999998</v>
      </c>
      <c r="S86" s="124">
        <f t="shared" si="61"/>
        <v>1.6791935247999998</v>
      </c>
      <c r="T86" s="121">
        <f t="shared" si="62"/>
        <v>1.6791935247999998</v>
      </c>
      <c r="U86" s="124">
        <f t="shared" si="63"/>
        <v>1.6791935247999998</v>
      </c>
      <c r="V86" s="124"/>
      <c r="W86" s="124"/>
      <c r="X86" s="91"/>
      <c r="Y86" s="124">
        <f t="shared" si="64"/>
        <v>1.6791935247999998</v>
      </c>
      <c r="Z86" s="124"/>
      <c r="AA86" s="124"/>
      <c r="AB86" s="124"/>
      <c r="AC86" s="121">
        <f t="shared" si="40"/>
        <v>1.6791935247999998</v>
      </c>
      <c r="AD86" s="124">
        <f t="shared" si="65"/>
        <v>1.6791935247999998</v>
      </c>
      <c r="AE86" s="377"/>
      <c r="AF86" s="377"/>
      <c r="AG86" s="124"/>
      <c r="AH86" s="124">
        <f t="shared" si="41"/>
        <v>1.6791935247999998</v>
      </c>
      <c r="AI86" s="124">
        <f t="shared" si="66"/>
        <v>1.6791935247999998</v>
      </c>
      <c r="AJ86" s="124"/>
      <c r="AK86" s="124"/>
      <c r="AL86" s="124"/>
      <c r="AM86" s="124">
        <f t="shared" si="42"/>
        <v>1.6791935247999998</v>
      </c>
      <c r="AN86" s="124">
        <f t="shared" si="67"/>
        <v>1.6791935247999998</v>
      </c>
      <c r="AO86" s="377"/>
      <c r="AP86" s="377"/>
      <c r="AQ86" s="124"/>
      <c r="AR86" s="124">
        <f t="shared" si="43"/>
        <v>1.6791935247999998</v>
      </c>
      <c r="AS86" s="206" t="s">
        <v>247</v>
      </c>
    </row>
    <row r="87" spans="1:45" s="2" customFormat="1" ht="9.75" customHeight="1" thickBot="1">
      <c r="A87" s="209"/>
      <c r="B87" s="210"/>
      <c r="C87" s="210"/>
      <c r="D87" s="211"/>
      <c r="E87" s="211"/>
      <c r="F87" s="211"/>
      <c r="G87" s="211"/>
      <c r="H87" s="212"/>
      <c r="I87" s="456"/>
      <c r="J87" s="213"/>
      <c r="K87" s="211"/>
      <c r="L87" s="454"/>
      <c r="M87" s="211"/>
      <c r="N87" s="211"/>
      <c r="O87" s="211"/>
      <c r="P87" s="214"/>
      <c r="Q87" s="214"/>
      <c r="R87" s="472"/>
      <c r="S87" s="472"/>
      <c r="T87" s="212"/>
      <c r="U87" s="211"/>
      <c r="V87" s="214"/>
      <c r="W87" s="214"/>
      <c r="X87" s="211"/>
      <c r="Y87" s="214"/>
      <c r="Z87" s="214"/>
      <c r="AA87" s="214"/>
      <c r="AB87" s="214"/>
      <c r="AC87" s="211"/>
      <c r="AD87" s="211"/>
      <c r="AE87" s="211"/>
      <c r="AF87" s="211"/>
      <c r="AG87" s="211"/>
      <c r="AH87" s="211"/>
      <c r="AI87" s="214"/>
      <c r="AJ87" s="214"/>
      <c r="AK87" s="214"/>
      <c r="AL87" s="214"/>
      <c r="AM87" s="214"/>
      <c r="AN87" s="214"/>
      <c r="AO87" s="214"/>
      <c r="AP87" s="214"/>
      <c r="AQ87" s="214"/>
      <c r="AR87" s="214"/>
      <c r="AS87" s="215"/>
    </row>
    <row r="88" spans="9:43" ht="15.75">
      <c r="I88" s="457"/>
      <c r="L88" s="455"/>
      <c r="P88" s="2"/>
      <c r="Q88" s="2"/>
      <c r="R88" s="2"/>
      <c r="S88" s="2"/>
      <c r="T88" s="2"/>
      <c r="U88" s="2"/>
      <c r="Y88" s="2"/>
      <c r="AB88" s="2"/>
      <c r="AD88" s="2"/>
      <c r="AG88" s="2"/>
      <c r="AI88" s="2"/>
      <c r="AL88" s="2"/>
      <c r="AN88" s="2"/>
      <c r="AQ88" s="2"/>
    </row>
    <row r="89" spans="1:43" ht="31.5" customHeight="1">
      <c r="A89" s="590" t="s">
        <v>231</v>
      </c>
      <c r="B89" s="590"/>
      <c r="C89" s="590"/>
      <c r="D89" s="590"/>
      <c r="E89" s="590"/>
      <c r="F89" s="590"/>
      <c r="G89" s="590"/>
      <c r="H89" s="590"/>
      <c r="I89" s="590"/>
      <c r="J89" s="590"/>
      <c r="K89" s="590"/>
      <c r="L89" s="590"/>
      <c r="M89" s="590"/>
      <c r="N89" s="590"/>
      <c r="O89" s="590"/>
      <c r="P89" s="590"/>
      <c r="Q89" s="450"/>
      <c r="R89" s="450"/>
      <c r="S89" s="450"/>
      <c r="T89" s="450"/>
      <c r="U89" s="450"/>
      <c r="Y89" s="2"/>
      <c r="AB89" s="2"/>
      <c r="AD89" s="2"/>
      <c r="AG89" s="2"/>
      <c r="AI89" s="2"/>
      <c r="AL89" s="2"/>
      <c r="AN89" s="2"/>
      <c r="AQ89" s="2"/>
    </row>
    <row r="90" spans="1:43" ht="18.75">
      <c r="A90" s="583" t="s">
        <v>232</v>
      </c>
      <c r="B90" s="583"/>
      <c r="C90" s="583"/>
      <c r="D90" s="583"/>
      <c r="E90" s="583"/>
      <c r="F90" s="583"/>
      <c r="G90" s="583"/>
      <c r="H90" s="583"/>
      <c r="I90" s="583"/>
      <c r="J90" s="583"/>
      <c r="K90" s="583"/>
      <c r="L90" s="583"/>
      <c r="M90" s="583"/>
      <c r="N90" s="583"/>
      <c r="O90" s="583"/>
      <c r="P90" s="583"/>
      <c r="Q90" s="451"/>
      <c r="R90" s="451"/>
      <c r="S90" s="451"/>
      <c r="T90" s="451"/>
      <c r="U90" s="451"/>
      <c r="Y90" s="2"/>
      <c r="AB90" s="2"/>
      <c r="AD90" s="2"/>
      <c r="AG90" s="2"/>
      <c r="AI90" s="2"/>
      <c r="AL90" s="2"/>
      <c r="AN90" s="2"/>
      <c r="AQ90" s="2"/>
    </row>
    <row r="91" spans="1:43" ht="31.5" customHeight="1">
      <c r="A91" s="583" t="s">
        <v>233</v>
      </c>
      <c r="B91" s="583"/>
      <c r="C91" s="583"/>
      <c r="D91" s="583"/>
      <c r="E91" s="583"/>
      <c r="F91" s="583"/>
      <c r="G91" s="583"/>
      <c r="H91" s="583"/>
      <c r="I91" s="583"/>
      <c r="J91" s="583"/>
      <c r="K91" s="583"/>
      <c r="L91" s="583"/>
      <c r="M91" s="583"/>
      <c r="N91" s="583"/>
      <c r="O91" s="583"/>
      <c r="P91" s="583"/>
      <c r="Q91" s="451"/>
      <c r="R91" s="451"/>
      <c r="S91" s="451"/>
      <c r="T91" s="451"/>
      <c r="U91" s="451"/>
      <c r="Y91" s="2"/>
      <c r="AB91" s="2"/>
      <c r="AD91" s="2"/>
      <c r="AG91" s="2"/>
      <c r="AI91" s="2"/>
      <c r="AL91" s="2"/>
      <c r="AN91" s="2"/>
      <c r="AQ91" s="2"/>
    </row>
    <row r="92" spans="1:43" ht="37.5" customHeight="1">
      <c r="A92" s="583" t="s">
        <v>236</v>
      </c>
      <c r="B92" s="583"/>
      <c r="C92" s="583"/>
      <c r="D92" s="583"/>
      <c r="E92" s="583"/>
      <c r="F92" s="583"/>
      <c r="G92" s="583"/>
      <c r="H92" s="583"/>
      <c r="I92" s="583"/>
      <c r="J92" s="583"/>
      <c r="K92" s="583"/>
      <c r="L92" s="583"/>
      <c r="M92" s="583"/>
      <c r="N92" s="583"/>
      <c r="O92" s="583"/>
      <c r="P92" s="583"/>
      <c r="Q92" s="451"/>
      <c r="R92" s="451"/>
      <c r="S92" s="451"/>
      <c r="T92" s="451"/>
      <c r="U92" s="451"/>
      <c r="Y92" s="2"/>
      <c r="AB92" s="2"/>
      <c r="AD92" s="2"/>
      <c r="AG92" s="2"/>
      <c r="AI92" s="2"/>
      <c r="AL92" s="2"/>
      <c r="AN92" s="2"/>
      <c r="AQ92" s="2"/>
    </row>
    <row r="93" spans="1:43" ht="15.75">
      <c r="A93" s="584"/>
      <c r="B93" s="584"/>
      <c r="C93" s="584"/>
      <c r="D93" s="584"/>
      <c r="E93" s="584"/>
      <c r="F93" s="584"/>
      <c r="G93" s="584"/>
      <c r="H93" s="584"/>
      <c r="I93" s="584"/>
      <c r="J93" s="584"/>
      <c r="K93" s="584"/>
      <c r="L93" s="584"/>
      <c r="M93" s="584"/>
      <c r="N93" s="584"/>
      <c r="O93" s="584"/>
      <c r="P93" s="584"/>
      <c r="Q93" s="2"/>
      <c r="R93" s="2"/>
      <c r="S93" s="2"/>
      <c r="T93" s="2"/>
      <c r="U93" s="2"/>
      <c r="Y93" s="2"/>
      <c r="AB93" s="2"/>
      <c r="AD93" s="2"/>
      <c r="AG93" s="2"/>
      <c r="AI93" s="2"/>
      <c r="AL93" s="2"/>
      <c r="AN93" s="2"/>
      <c r="AQ93" s="2"/>
    </row>
    <row r="94" spans="5:43" ht="15.75">
      <c r="E94" s="1"/>
      <c r="F94" s="1"/>
      <c r="H94" s="1"/>
      <c r="I94" s="1"/>
      <c r="J94" s="1"/>
      <c r="K94" s="1"/>
      <c r="L94" s="1"/>
      <c r="M94" s="1"/>
      <c r="N94" s="1"/>
      <c r="O94" s="1"/>
      <c r="P94" s="1"/>
      <c r="Q94" s="2"/>
      <c r="R94" s="2"/>
      <c r="S94" s="2"/>
      <c r="T94" s="2"/>
      <c r="U94" s="2"/>
      <c r="Y94" s="2"/>
      <c r="AB94" s="2"/>
      <c r="AD94" s="2"/>
      <c r="AG94" s="2"/>
      <c r="AI94" s="2"/>
      <c r="AL94" s="2"/>
      <c r="AN94" s="2"/>
      <c r="AQ94" s="2"/>
    </row>
    <row r="95" spans="5:43" ht="15.75">
      <c r="E95" s="1"/>
      <c r="F95" s="1"/>
      <c r="H95" s="1"/>
      <c r="I95" s="1"/>
      <c r="J95" s="1"/>
      <c r="K95" s="1"/>
      <c r="L95" s="1"/>
      <c r="M95" s="1"/>
      <c r="N95" s="1"/>
      <c r="O95" s="1"/>
      <c r="P95" s="1"/>
      <c r="Q95" s="2"/>
      <c r="R95" s="2"/>
      <c r="S95" s="2"/>
      <c r="T95" s="2"/>
      <c r="U95" s="2"/>
      <c r="Y95" s="2"/>
      <c r="AB95" s="2"/>
      <c r="AD95" s="2"/>
      <c r="AG95" s="2"/>
      <c r="AI95" s="2"/>
      <c r="AL95" s="2"/>
      <c r="AN95" s="2"/>
      <c r="AQ95" s="2"/>
    </row>
    <row r="96" spans="5:43" ht="15.75">
      <c r="E96" s="1"/>
      <c r="F96" s="1"/>
      <c r="H96" s="1"/>
      <c r="I96" s="1"/>
      <c r="J96" s="1"/>
      <c r="K96" s="1"/>
      <c r="L96" s="1"/>
      <c r="M96" s="1"/>
      <c r="N96" s="1"/>
      <c r="O96" s="1"/>
      <c r="P96" s="1"/>
      <c r="Q96" s="2"/>
      <c r="R96" s="2"/>
      <c r="S96" s="2"/>
      <c r="T96" s="2"/>
      <c r="U96" s="2"/>
      <c r="Y96" s="2"/>
      <c r="AB96" s="2"/>
      <c r="AD96" s="2"/>
      <c r="AG96" s="2"/>
      <c r="AI96" s="2"/>
      <c r="AL96" s="2"/>
      <c r="AN96" s="2"/>
      <c r="AQ96" s="2"/>
    </row>
    <row r="97" spans="5:43" ht="15.75">
      <c r="E97" s="1"/>
      <c r="F97" s="1"/>
      <c r="H97" s="1"/>
      <c r="I97" s="1"/>
      <c r="J97" s="1"/>
      <c r="K97" s="1"/>
      <c r="L97" s="1"/>
      <c r="M97" s="1"/>
      <c r="N97" s="1"/>
      <c r="O97" s="1"/>
      <c r="P97" s="1"/>
      <c r="Q97" s="2"/>
      <c r="R97" s="2"/>
      <c r="S97" s="2"/>
      <c r="T97" s="2"/>
      <c r="U97" s="2"/>
      <c r="Y97" s="2"/>
      <c r="AB97" s="2"/>
      <c r="AD97" s="2"/>
      <c r="AG97" s="2"/>
      <c r="AI97" s="2"/>
      <c r="AL97" s="2"/>
      <c r="AN97" s="2"/>
      <c r="AQ97" s="2"/>
    </row>
    <row r="98" spans="5:43" ht="15.75">
      <c r="E98" s="1"/>
      <c r="F98" s="1"/>
      <c r="H98" s="1"/>
      <c r="I98" s="1"/>
      <c r="J98" s="1"/>
      <c r="K98" s="1"/>
      <c r="L98" s="1"/>
      <c r="M98" s="1"/>
      <c r="N98" s="1"/>
      <c r="O98" s="1"/>
      <c r="P98" s="1"/>
      <c r="Q98" s="2"/>
      <c r="R98" s="2"/>
      <c r="S98" s="2"/>
      <c r="T98" s="2"/>
      <c r="U98" s="2"/>
      <c r="Y98" s="2"/>
      <c r="AB98" s="2"/>
      <c r="AD98" s="2"/>
      <c r="AG98" s="2"/>
      <c r="AI98" s="2"/>
      <c r="AL98" s="2"/>
      <c r="AN98" s="2"/>
      <c r="AQ98" s="2"/>
    </row>
    <row r="99" spans="5:43" ht="15.75">
      <c r="E99" s="1"/>
      <c r="F99" s="1"/>
      <c r="H99" s="1"/>
      <c r="I99" s="1"/>
      <c r="J99" s="1"/>
      <c r="K99" s="1"/>
      <c r="L99" s="1"/>
      <c r="M99" s="1"/>
      <c r="N99" s="1"/>
      <c r="O99" s="1"/>
      <c r="P99" s="1"/>
      <c r="Q99" s="2"/>
      <c r="R99" s="2"/>
      <c r="S99" s="2"/>
      <c r="T99" s="2"/>
      <c r="U99" s="2"/>
      <c r="Y99" s="2"/>
      <c r="AB99" s="2"/>
      <c r="AD99" s="2"/>
      <c r="AG99" s="2"/>
      <c r="AI99" s="2"/>
      <c r="AL99" s="2"/>
      <c r="AN99" s="2"/>
      <c r="AQ99" s="2"/>
    </row>
    <row r="100" spans="5:43" ht="15.75">
      <c r="E100" s="1"/>
      <c r="F100" s="1"/>
      <c r="H100" s="1"/>
      <c r="I100" s="1"/>
      <c r="J100" s="1"/>
      <c r="K100" s="1"/>
      <c r="L100" s="1"/>
      <c r="M100" s="1"/>
      <c r="N100" s="1"/>
      <c r="O100" s="1"/>
      <c r="P100" s="1"/>
      <c r="Q100" s="2"/>
      <c r="R100" s="2"/>
      <c r="S100" s="2"/>
      <c r="T100" s="2"/>
      <c r="U100" s="2"/>
      <c r="Y100" s="2"/>
      <c r="AB100" s="2"/>
      <c r="AD100" s="2"/>
      <c r="AG100" s="2"/>
      <c r="AI100" s="2"/>
      <c r="AL100" s="2"/>
      <c r="AN100" s="2"/>
      <c r="AQ100" s="2"/>
    </row>
    <row r="101" spans="5:43" ht="15.75">
      <c r="E101" s="1"/>
      <c r="F101" s="1"/>
      <c r="H101" s="1"/>
      <c r="I101" s="1"/>
      <c r="J101" s="1"/>
      <c r="K101" s="1"/>
      <c r="L101" s="1"/>
      <c r="M101" s="1"/>
      <c r="N101" s="1"/>
      <c r="O101" s="1"/>
      <c r="P101" s="1"/>
      <c r="Q101" s="2"/>
      <c r="R101" s="2"/>
      <c r="S101" s="2"/>
      <c r="T101" s="2"/>
      <c r="U101" s="2"/>
      <c r="Y101" s="2"/>
      <c r="AB101" s="2"/>
      <c r="AD101" s="2"/>
      <c r="AG101" s="2"/>
      <c r="AI101" s="2"/>
      <c r="AL101" s="2"/>
      <c r="AN101" s="2"/>
      <c r="AQ101" s="2"/>
    </row>
    <row r="102" spans="5:43" ht="15.75">
      <c r="E102" s="1"/>
      <c r="F102" s="1"/>
      <c r="H102" s="1"/>
      <c r="I102" s="1"/>
      <c r="J102" s="1"/>
      <c r="K102" s="1"/>
      <c r="L102" s="1"/>
      <c r="M102" s="1"/>
      <c r="N102" s="1"/>
      <c r="O102" s="1"/>
      <c r="P102" s="1"/>
      <c r="Q102" s="2"/>
      <c r="R102" s="2"/>
      <c r="S102" s="2"/>
      <c r="T102" s="2"/>
      <c r="U102" s="2"/>
      <c r="Y102" s="2"/>
      <c r="AB102" s="2"/>
      <c r="AD102" s="2"/>
      <c r="AG102" s="2"/>
      <c r="AI102" s="2"/>
      <c r="AL102" s="2"/>
      <c r="AN102" s="2"/>
      <c r="AQ102" s="2"/>
    </row>
    <row r="103" spans="2:43" ht="18.75">
      <c r="B103" s="585" t="s">
        <v>595</v>
      </c>
      <c r="C103" s="585"/>
      <c r="D103" s="585"/>
      <c r="E103" s="585"/>
      <c r="F103" s="585"/>
      <c r="G103" s="585"/>
      <c r="H103" s="585"/>
      <c r="I103" s="585"/>
      <c r="J103" s="585"/>
      <c r="K103" s="585"/>
      <c r="L103" s="585"/>
      <c r="M103" s="585"/>
      <c r="N103" s="585"/>
      <c r="O103" s="585"/>
      <c r="P103" s="585"/>
      <c r="Q103" s="585"/>
      <c r="R103" s="585"/>
      <c r="S103" s="585"/>
      <c r="T103" s="585"/>
      <c r="U103" s="585"/>
      <c r="V103" s="585"/>
      <c r="Y103" s="2"/>
      <c r="AB103" s="2"/>
      <c r="AD103" s="2"/>
      <c r="AG103" s="2"/>
      <c r="AI103" s="2"/>
      <c r="AL103" s="2"/>
      <c r="AN103" s="2"/>
      <c r="AQ103" s="2"/>
    </row>
    <row r="104" spans="2:22" ht="15.75">
      <c r="B104" s="582"/>
      <c r="C104" s="582"/>
      <c r="D104" s="582"/>
      <c r="E104" s="582"/>
      <c r="F104" s="582"/>
      <c r="G104" s="582"/>
      <c r="H104" s="582"/>
      <c r="I104" s="582"/>
      <c r="J104" s="582"/>
      <c r="K104" s="582"/>
      <c r="L104" s="582"/>
      <c r="M104" s="582"/>
      <c r="N104" s="582"/>
      <c r="O104" s="582"/>
      <c r="P104" s="582"/>
      <c r="Q104" s="582"/>
      <c r="R104" s="582"/>
      <c r="S104" s="582"/>
      <c r="T104" s="582"/>
      <c r="U104" s="582"/>
      <c r="V104" s="582"/>
    </row>
    <row r="105" ht="15.75"/>
    <row r="121" ht="15.75"/>
    <row r="122" ht="15.75"/>
    <row r="123" ht="15.75"/>
    <row r="125" ht="15.75"/>
    <row r="126" ht="15.75"/>
    <row r="128" ht="15.75"/>
    <row r="129" ht="15.75"/>
    <row r="131" ht="15.75"/>
    <row r="132" ht="15.75"/>
    <row r="134" ht="15.75"/>
    <row r="135" ht="15.75"/>
    <row r="137" ht="15.75"/>
    <row r="138" ht="15.75"/>
  </sheetData>
  <sheetProtection/>
  <mergeCells count="39">
    <mergeCell ref="B103:V103"/>
    <mergeCell ref="K17:M17"/>
    <mergeCell ref="O16:O18"/>
    <mergeCell ref="P17:Q17"/>
    <mergeCell ref="B16:B18"/>
    <mergeCell ref="D16:D18"/>
    <mergeCell ref="A89:P89"/>
    <mergeCell ref="F16:G17"/>
    <mergeCell ref="H17:J17"/>
    <mergeCell ref="A1:AS1"/>
    <mergeCell ref="A2:AS2"/>
    <mergeCell ref="A3:AS3"/>
    <mergeCell ref="B104:V104"/>
    <mergeCell ref="A90:P90"/>
    <mergeCell ref="A91:P91"/>
    <mergeCell ref="A92:P92"/>
    <mergeCell ref="A93:P93"/>
    <mergeCell ref="T16:U17"/>
    <mergeCell ref="AI17:AM17"/>
    <mergeCell ref="AS16:AS18"/>
    <mergeCell ref="AN17:AR17"/>
    <mergeCell ref="AI16:AR16"/>
    <mergeCell ref="V16:X17"/>
    <mergeCell ref="E16:E18"/>
    <mergeCell ref="H16:M16"/>
    <mergeCell ref="P16:S16"/>
    <mergeCell ref="R17:S17"/>
    <mergeCell ref="N16:N18"/>
    <mergeCell ref="AD17:AH17"/>
    <mergeCell ref="Y17:AC17"/>
    <mergeCell ref="Y16:AH16"/>
    <mergeCell ref="A9:AH9"/>
    <mergeCell ref="A14:AH14"/>
    <mergeCell ref="A10:AH10"/>
    <mergeCell ref="A11:AH11"/>
    <mergeCell ref="A12:AH12"/>
    <mergeCell ref="A13:AH13"/>
    <mergeCell ref="C16:C18"/>
    <mergeCell ref="A16:A18"/>
  </mergeCells>
  <printOptions horizontalCentered="1"/>
  <pageMargins left="0.1968503937007874" right="0.1968503937007874" top="0.3937007874015748" bottom="0.3937007874015748" header="0.11811023622047245" footer="0.11811023622047245"/>
  <pageSetup horizontalDpi="600" verticalDpi="600" orientation="portrait" paperSize="9" scale="37" r:id="rId3"/>
  <headerFooter differentFirst="1">
    <oddHeader>&amp;C&amp;P</oddHeader>
  </headerFooter>
  <colBreaks count="1" manualBreakCount="1">
    <brk id="16" max="154" man="1"/>
  </colBreaks>
  <legacyDrawing r:id="rId2"/>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BB26"/>
  <sheetViews>
    <sheetView view="pageBreakPreview" zoomScale="110" zoomScaleSheetLayoutView="110" zoomScalePageLayoutView="0" workbookViewId="0" topLeftCell="A10">
      <selection activeCell="I18" sqref="I18"/>
    </sheetView>
  </sheetViews>
  <sheetFormatPr defaultColWidth="9.00390625" defaultRowHeight="15.75"/>
  <cols>
    <col min="1" max="1" width="7.25390625" style="1" customWidth="1"/>
    <col min="2" max="2" width="49.625" style="1" customWidth="1"/>
    <col min="3" max="5" width="17.625" style="1" customWidth="1"/>
    <col min="6" max="6" width="14.375" style="1" customWidth="1"/>
    <col min="7" max="7" width="4.50390625" style="1" customWidth="1"/>
    <col min="8" max="8" width="6.00390625" style="1" customWidth="1"/>
    <col min="9" max="10" width="5.75390625" style="1" customWidth="1"/>
    <col min="11" max="11" width="5.00390625" style="1" customWidth="1"/>
    <col min="12" max="12" width="4.75390625" style="1" customWidth="1"/>
    <col min="13" max="13" width="4.375" style="1" customWidth="1"/>
    <col min="14" max="14" width="4.25390625" style="1" customWidth="1"/>
    <col min="15" max="15" width="5.75390625" style="1" customWidth="1"/>
    <col min="16" max="16" width="6.25390625" style="1" customWidth="1"/>
    <col min="17" max="17" width="4.625" style="1" customWidth="1"/>
    <col min="18" max="18" width="4.375" style="1" customWidth="1"/>
    <col min="19" max="20" width="3.375" style="1" customWidth="1"/>
    <col min="21" max="21" width="4.125" style="1" customWidth="1"/>
    <col min="22" max="24" width="5.75390625" style="1" customWidth="1"/>
    <col min="25" max="25" width="3.875" style="1" customWidth="1"/>
    <col min="26" max="26" width="4.50390625" style="1" customWidth="1"/>
    <col min="27" max="27" width="3.875" style="1" customWidth="1"/>
    <col min="28" max="28" width="4.375" style="1" customWidth="1"/>
    <col min="29" max="31" width="5.75390625" style="1" customWidth="1"/>
    <col min="32" max="32" width="6.125" style="1" customWidth="1"/>
    <col min="33" max="33" width="5.75390625" style="1" customWidth="1"/>
    <col min="34" max="34" width="6.50390625" style="1" customWidth="1"/>
    <col min="35" max="35" width="3.50390625" style="1" customWidth="1"/>
    <col min="36" max="36" width="5.75390625" style="1" customWidth="1"/>
    <col min="37" max="37" width="16.125" style="1" customWidth="1"/>
    <col min="38" max="38" width="21.25390625" style="1" customWidth="1"/>
    <col min="39" max="39" width="12.625" style="1" customWidth="1"/>
    <col min="40" max="40" width="22.375" style="1" customWidth="1"/>
    <col min="41" max="41" width="10.875" style="1" customWidth="1"/>
    <col min="42" max="42" width="17.375" style="1" customWidth="1"/>
    <col min="43" max="44" width="4.125" style="1" customWidth="1"/>
    <col min="45" max="45" width="3.75390625" style="1" customWidth="1"/>
    <col min="46" max="46" width="3.875" style="1" customWidth="1"/>
    <col min="47" max="47" width="4.50390625" style="1" customWidth="1"/>
    <col min="48" max="48" width="5.00390625" style="1" customWidth="1"/>
    <col min="49" max="49" width="5.50390625" style="1" customWidth="1"/>
    <col min="50" max="50" width="5.75390625" style="1" customWidth="1"/>
    <col min="51" max="51" width="5.50390625" style="1" customWidth="1"/>
    <col min="52" max="53" width="5.00390625" style="1" customWidth="1"/>
    <col min="54" max="54" width="12.875" style="1" customWidth="1"/>
    <col min="55" max="64" width="5.00390625" style="1" customWidth="1"/>
    <col min="65" max="16384" width="9.00390625" style="1" customWidth="1"/>
  </cols>
  <sheetData>
    <row r="1" spans="6:22" ht="18.75">
      <c r="F1" s="26" t="s">
        <v>234</v>
      </c>
      <c r="L1" s="2"/>
      <c r="M1" s="4"/>
      <c r="N1" s="2"/>
      <c r="O1" s="2"/>
      <c r="P1" s="2"/>
      <c r="Q1" s="2"/>
      <c r="R1" s="2"/>
      <c r="S1" s="2"/>
      <c r="T1" s="2"/>
      <c r="U1" s="2"/>
      <c r="V1" s="2"/>
    </row>
    <row r="2" spans="6:22" ht="18.75">
      <c r="F2" s="16" t="s">
        <v>423</v>
      </c>
      <c r="L2" s="2"/>
      <c r="M2" s="4"/>
      <c r="N2" s="2"/>
      <c r="O2" s="2"/>
      <c r="P2" s="2"/>
      <c r="Q2" s="2"/>
      <c r="R2" s="2"/>
      <c r="S2" s="2"/>
      <c r="T2" s="2"/>
      <c r="U2" s="2"/>
      <c r="V2" s="2"/>
    </row>
    <row r="3" spans="6:22" ht="18.75">
      <c r="F3" s="16" t="s">
        <v>589</v>
      </c>
      <c r="L3" s="2"/>
      <c r="M3" s="4"/>
      <c r="N3" s="2"/>
      <c r="O3" s="2"/>
      <c r="P3" s="2"/>
      <c r="Q3" s="2"/>
      <c r="R3" s="2"/>
      <c r="S3" s="2"/>
      <c r="T3" s="2"/>
      <c r="U3" s="2"/>
      <c r="V3" s="2"/>
    </row>
    <row r="4" spans="6:22" ht="18.75">
      <c r="F4" s="16"/>
      <c r="L4" s="2"/>
      <c r="M4" s="4"/>
      <c r="N4" s="2"/>
      <c r="O4" s="2"/>
      <c r="P4" s="2"/>
      <c r="Q4" s="2"/>
      <c r="R4" s="2"/>
      <c r="S4" s="2"/>
      <c r="T4" s="2"/>
      <c r="U4" s="2"/>
      <c r="V4" s="2"/>
    </row>
    <row r="5" spans="1:22" ht="15.75">
      <c r="A5" s="791" t="s">
        <v>203</v>
      </c>
      <c r="B5" s="791"/>
      <c r="C5" s="791"/>
      <c r="D5" s="791"/>
      <c r="E5" s="791"/>
      <c r="F5" s="791"/>
      <c r="L5" s="2"/>
      <c r="M5" s="4"/>
      <c r="N5" s="2"/>
      <c r="O5" s="2"/>
      <c r="P5" s="2"/>
      <c r="Q5" s="2"/>
      <c r="R5" s="2"/>
      <c r="S5" s="2"/>
      <c r="T5" s="2"/>
      <c r="U5" s="2"/>
      <c r="V5" s="2"/>
    </row>
    <row r="6" spans="7:45" ht="15.75">
      <c r="G6" s="2"/>
      <c r="H6" s="2"/>
      <c r="I6" s="2"/>
      <c r="J6" s="2"/>
      <c r="K6" s="2"/>
      <c r="L6" s="2"/>
      <c r="M6" s="6"/>
      <c r="N6" s="6"/>
      <c r="O6" s="6"/>
      <c r="P6" s="6"/>
      <c r="Q6" s="6"/>
      <c r="R6" s="6"/>
      <c r="S6" s="6"/>
      <c r="T6" s="6"/>
      <c r="U6" s="6"/>
      <c r="V6" s="6"/>
      <c r="W6" s="6"/>
      <c r="X6" s="6"/>
      <c r="Y6" s="6"/>
      <c r="Z6" s="6"/>
      <c r="AA6" s="2"/>
      <c r="AB6" s="6"/>
      <c r="AC6" s="2"/>
      <c r="AD6" s="2"/>
      <c r="AE6" s="2"/>
      <c r="AF6" s="2"/>
      <c r="AG6" s="2"/>
      <c r="AH6" s="2"/>
      <c r="AI6" s="2"/>
      <c r="AJ6" s="2"/>
      <c r="AK6" s="2"/>
      <c r="AL6" s="2"/>
      <c r="AM6" s="2"/>
      <c r="AN6" s="2"/>
      <c r="AO6" s="2"/>
      <c r="AP6" s="2"/>
      <c r="AQ6" s="2"/>
      <c r="AR6" s="2"/>
      <c r="AS6" s="2"/>
    </row>
    <row r="7" spans="1:45" ht="15.75">
      <c r="A7" s="663" t="str">
        <f>1!A14:U14</f>
        <v>Инвестиционная программа Филиала "Железноводские электрические сети" ООО "КЭУК".</v>
      </c>
      <c r="B7" s="663"/>
      <c r="C7" s="663"/>
      <c r="D7" s="663"/>
      <c r="E7" s="663"/>
      <c r="F7" s="663"/>
      <c r="G7" s="82"/>
      <c r="H7" s="82"/>
      <c r="I7" s="82"/>
      <c r="J7" s="82"/>
      <c r="K7" s="82"/>
      <c r="L7" s="82"/>
      <c r="M7" s="6"/>
      <c r="N7" s="6"/>
      <c r="O7" s="6"/>
      <c r="P7" s="6"/>
      <c r="Q7" s="6"/>
      <c r="R7" s="6"/>
      <c r="S7" s="6"/>
      <c r="T7" s="6"/>
      <c r="U7" s="6"/>
      <c r="V7" s="6"/>
      <c r="W7" s="6"/>
      <c r="X7" s="6"/>
      <c r="Y7" s="6"/>
      <c r="Z7" s="6"/>
      <c r="AA7" s="2"/>
      <c r="AB7" s="6"/>
      <c r="AC7" s="2"/>
      <c r="AD7" s="2"/>
      <c r="AE7" s="2"/>
      <c r="AF7" s="2"/>
      <c r="AG7" s="2"/>
      <c r="AH7" s="2"/>
      <c r="AI7" s="2"/>
      <c r="AJ7" s="2"/>
      <c r="AK7" s="2"/>
      <c r="AL7" s="2"/>
      <c r="AM7" s="2"/>
      <c r="AN7" s="2"/>
      <c r="AO7" s="2"/>
      <c r="AP7" s="2"/>
      <c r="AQ7" s="2"/>
      <c r="AR7" s="2"/>
      <c r="AS7" s="2"/>
    </row>
    <row r="8" spans="1:45" ht="15.75">
      <c r="A8" s="663" t="s">
        <v>109</v>
      </c>
      <c r="B8" s="663"/>
      <c r="C8" s="663"/>
      <c r="D8" s="663"/>
      <c r="E8" s="663"/>
      <c r="F8" s="663"/>
      <c r="G8" s="50"/>
      <c r="H8" s="50"/>
      <c r="I8" s="50"/>
      <c r="J8" s="50"/>
      <c r="K8" s="50"/>
      <c r="L8" s="50"/>
      <c r="M8" s="6"/>
      <c r="N8" s="6"/>
      <c r="O8" s="6"/>
      <c r="P8" s="6"/>
      <c r="Q8" s="6"/>
      <c r="R8" s="6"/>
      <c r="S8" s="6"/>
      <c r="T8" s="6"/>
      <c r="U8" s="6"/>
      <c r="V8" s="6"/>
      <c r="W8" s="6"/>
      <c r="X8" s="6"/>
      <c r="Y8" s="6"/>
      <c r="Z8" s="6"/>
      <c r="AA8" s="2"/>
      <c r="AB8" s="6"/>
      <c r="AC8" s="2"/>
      <c r="AD8" s="2"/>
      <c r="AE8" s="2"/>
      <c r="AF8" s="2"/>
      <c r="AG8" s="2"/>
      <c r="AH8" s="2"/>
      <c r="AI8" s="2"/>
      <c r="AJ8" s="2"/>
      <c r="AK8" s="2"/>
      <c r="AL8" s="2"/>
      <c r="AM8" s="2"/>
      <c r="AN8" s="2"/>
      <c r="AO8" s="2"/>
      <c r="AP8" s="2"/>
      <c r="AQ8" s="2"/>
      <c r="AR8" s="2"/>
      <c r="AS8" s="2"/>
    </row>
    <row r="9" spans="1:45" ht="15.75">
      <c r="A9" s="2"/>
      <c r="B9" s="2"/>
      <c r="C9" s="2"/>
      <c r="D9" s="2"/>
      <c r="E9" s="2"/>
      <c r="F9" s="2"/>
      <c r="G9" s="2"/>
      <c r="H9" s="2"/>
      <c r="I9" s="2"/>
      <c r="J9" s="2"/>
      <c r="K9" s="2"/>
      <c r="L9" s="2"/>
      <c r="M9" s="6"/>
      <c r="N9" s="6"/>
      <c r="O9" s="6"/>
      <c r="P9" s="6"/>
      <c r="Q9" s="6"/>
      <c r="R9" s="6"/>
      <c r="S9" s="6"/>
      <c r="T9" s="6"/>
      <c r="U9" s="6"/>
      <c r="V9" s="6"/>
      <c r="W9" s="6"/>
      <c r="X9" s="6"/>
      <c r="Y9" s="6"/>
      <c r="Z9" s="6"/>
      <c r="AA9" s="2"/>
      <c r="AB9" s="6"/>
      <c r="AC9" s="2"/>
      <c r="AD9" s="2"/>
      <c r="AE9" s="2"/>
      <c r="AF9" s="2"/>
      <c r="AG9" s="2"/>
      <c r="AH9" s="2"/>
      <c r="AI9" s="2"/>
      <c r="AJ9" s="2"/>
      <c r="AK9" s="2"/>
      <c r="AL9" s="2"/>
      <c r="AM9" s="2"/>
      <c r="AN9" s="2"/>
      <c r="AO9" s="2"/>
      <c r="AP9" s="2"/>
      <c r="AQ9" s="2"/>
      <c r="AR9" s="2"/>
      <c r="AS9" s="2"/>
    </row>
    <row r="10" spans="1:54" ht="26.25" customHeight="1">
      <c r="A10" s="561" t="str">
        <f>1!A17:U17</f>
        <v>Год раскрытия информации: 2018 год</v>
      </c>
      <c r="B10" s="561"/>
      <c r="C10" s="561"/>
      <c r="D10" s="561"/>
      <c r="E10" s="561"/>
      <c r="F10" s="561"/>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row>
    <row r="11" spans="1:54" ht="15" customHeight="1">
      <c r="A11" s="86"/>
      <c r="B11" s="86"/>
      <c r="C11" s="86"/>
      <c r="D11" s="86"/>
      <c r="E11" s="86"/>
      <c r="F11" s="86"/>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row>
    <row r="12" spans="1:54" ht="18" customHeight="1">
      <c r="A12" s="664"/>
      <c r="B12" s="664"/>
      <c r="C12" s="664"/>
      <c r="D12" s="664"/>
      <c r="E12" s="664"/>
      <c r="F12" s="664"/>
      <c r="G12" s="80"/>
      <c r="H12" s="80"/>
      <c r="I12" s="80"/>
      <c r="J12" s="80"/>
      <c r="K12" s="80"/>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ht="13.5" customHeight="1">
      <c r="A13" s="80" t="s">
        <v>111</v>
      </c>
      <c r="B13" s="80"/>
      <c r="C13" s="80"/>
      <c r="D13" s="80"/>
      <c r="E13" s="80"/>
      <c r="F13" s="80"/>
      <c r="G13" s="80"/>
      <c r="H13" s="80"/>
      <c r="I13" s="80"/>
      <c r="J13" s="80"/>
      <c r="K13" s="80"/>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45" ht="36" customHeight="1">
      <c r="A14" s="789" t="s">
        <v>242</v>
      </c>
      <c r="B14" s="790" t="s">
        <v>115</v>
      </c>
      <c r="C14" s="790" t="s">
        <v>114</v>
      </c>
      <c r="D14" s="790"/>
      <c r="E14" s="790"/>
      <c r="G14" s="20"/>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row>
    <row r="15" spans="1:45" ht="15.75">
      <c r="A15" s="789"/>
      <c r="B15" s="790"/>
      <c r="C15" s="90">
        <v>2017</v>
      </c>
      <c r="D15" s="90">
        <v>2018</v>
      </c>
      <c r="E15" s="90">
        <v>2019</v>
      </c>
      <c r="G15" s="20"/>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1:45" ht="15.75">
      <c r="A16" s="40">
        <v>1</v>
      </c>
      <c r="B16" s="90">
        <v>2</v>
      </c>
      <c r="C16" s="90">
        <v>4</v>
      </c>
      <c r="D16" s="40">
        <v>5</v>
      </c>
      <c r="E16" s="90">
        <v>6</v>
      </c>
      <c r="G16" s="20"/>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1:45" ht="34.5" customHeight="1">
      <c r="A17" s="40">
        <v>1</v>
      </c>
      <c r="B17" s="156" t="s">
        <v>71</v>
      </c>
      <c r="C17" s="157">
        <v>0.0338</v>
      </c>
      <c r="D17" s="158">
        <v>0.0333</v>
      </c>
      <c r="E17" s="157">
        <v>0.0328</v>
      </c>
      <c r="G17" s="20"/>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row>
    <row r="18" spans="1:45" ht="34.5" customHeight="1">
      <c r="A18" s="40">
        <v>2</v>
      </c>
      <c r="B18" s="156" t="s">
        <v>72</v>
      </c>
      <c r="C18" s="157">
        <v>1</v>
      </c>
      <c r="D18" s="158">
        <v>1</v>
      </c>
      <c r="E18" s="157">
        <v>1</v>
      </c>
      <c r="G18" s="20"/>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row>
    <row r="19" spans="1:45" ht="34.5" customHeight="1">
      <c r="A19" s="40">
        <v>3</v>
      </c>
      <c r="B19" s="156" t="s">
        <v>73</v>
      </c>
      <c r="C19" s="157">
        <v>0.8975</v>
      </c>
      <c r="D19" s="157">
        <v>0.8975</v>
      </c>
      <c r="E19" s="157">
        <v>0.8975</v>
      </c>
      <c r="G19" s="20"/>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row>
    <row r="20" spans="1:45" ht="21.75" customHeight="1">
      <c r="A20" s="40"/>
      <c r="B20" s="69"/>
      <c r="C20" s="13"/>
      <c r="D20" s="13"/>
      <c r="E20" s="13"/>
      <c r="G20" s="20"/>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row>
    <row r="26" ht="15.75">
      <c r="K26" s="44"/>
    </row>
  </sheetData>
  <sheetProtection/>
  <mergeCells count="8">
    <mergeCell ref="A14:A15"/>
    <mergeCell ref="B14:B15"/>
    <mergeCell ref="C14:E14"/>
    <mergeCell ref="A5:F5"/>
    <mergeCell ref="A7:F7"/>
    <mergeCell ref="A8:F8"/>
    <mergeCell ref="A12:F12"/>
    <mergeCell ref="A10:F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J11"/>
  <sheetViews>
    <sheetView view="pageBreakPreview" zoomScaleSheetLayoutView="100" zoomScalePageLayoutView="0" workbookViewId="0" topLeftCell="A4">
      <selection activeCell="B4" sqref="B4"/>
    </sheetView>
  </sheetViews>
  <sheetFormatPr defaultColWidth="9.00390625" defaultRowHeight="15.75"/>
  <cols>
    <col min="2" max="2" width="77.00390625" style="0" customWidth="1"/>
  </cols>
  <sheetData>
    <row r="1" spans="1:9" ht="18.75">
      <c r="A1" s="51"/>
      <c r="B1" s="26" t="s">
        <v>235</v>
      </c>
      <c r="C1" s="7"/>
      <c r="D1" s="7"/>
      <c r="E1" s="7"/>
      <c r="F1" s="7"/>
      <c r="G1" s="7"/>
      <c r="H1" s="7"/>
      <c r="I1" s="7"/>
    </row>
    <row r="2" spans="1:9" ht="18.75">
      <c r="A2" s="51"/>
      <c r="B2" s="16" t="s">
        <v>423</v>
      </c>
      <c r="C2" s="7"/>
      <c r="D2" s="7"/>
      <c r="E2" s="7"/>
      <c r="F2" s="7"/>
      <c r="G2" s="7"/>
      <c r="H2" s="7"/>
      <c r="I2" s="7"/>
    </row>
    <row r="3" spans="1:9" ht="18.75">
      <c r="A3" s="51"/>
      <c r="B3" s="16" t="s">
        <v>589</v>
      </c>
      <c r="C3" s="7"/>
      <c r="D3" s="7"/>
      <c r="E3" s="7"/>
      <c r="F3" s="7"/>
      <c r="G3" s="7"/>
      <c r="H3" s="7"/>
      <c r="I3" s="7"/>
    </row>
    <row r="4" spans="1:9" ht="18.75">
      <c r="A4" s="51"/>
      <c r="B4" s="16"/>
      <c r="C4" s="7"/>
      <c r="D4" s="7"/>
      <c r="E4" s="7"/>
      <c r="F4" s="7"/>
      <c r="G4" s="7"/>
      <c r="H4" s="7"/>
      <c r="I4" s="7"/>
    </row>
    <row r="5" spans="1:10" ht="171" customHeight="1">
      <c r="A5" s="792" t="s">
        <v>250</v>
      </c>
      <c r="B5" s="792"/>
      <c r="C5" s="66"/>
      <c r="D5" s="66"/>
      <c r="E5" s="66"/>
      <c r="F5" s="66"/>
      <c r="G5" s="66"/>
      <c r="H5" s="66"/>
      <c r="I5" s="66"/>
      <c r="J5" s="66"/>
    </row>
    <row r="6" spans="1:10" ht="20.25" customHeight="1">
      <c r="A6" s="49"/>
      <c r="B6" s="49"/>
      <c r="C6" s="66"/>
      <c r="D6" s="66"/>
      <c r="E6" s="66"/>
      <c r="F6" s="66"/>
      <c r="G6" s="66"/>
      <c r="H6" s="66"/>
      <c r="I6" s="66"/>
      <c r="J6" s="66"/>
    </row>
    <row r="7" spans="1:10" ht="18.75">
      <c r="A7" s="559" t="str">
        <f>1!A17:U17</f>
        <v>Год раскрытия информации: 2018 год</v>
      </c>
      <c r="B7" s="559"/>
      <c r="C7" s="49"/>
      <c r="D7" s="49"/>
      <c r="E7" s="49"/>
      <c r="F7" s="7"/>
      <c r="G7" s="7"/>
      <c r="H7" s="7"/>
      <c r="I7" s="7"/>
      <c r="J7" s="7"/>
    </row>
    <row r="9" spans="1:2" ht="69" customHeight="1">
      <c r="A9" s="83" t="s">
        <v>242</v>
      </c>
      <c r="B9" s="90" t="s">
        <v>495</v>
      </c>
    </row>
    <row r="10" spans="1:2" ht="15.75">
      <c r="A10" s="103">
        <v>1</v>
      </c>
      <c r="B10" s="103">
        <v>2</v>
      </c>
    </row>
    <row r="11" spans="1:2" ht="15.75">
      <c r="A11" s="103">
        <v>1</v>
      </c>
      <c r="B11" s="22" t="s">
        <v>136</v>
      </c>
    </row>
  </sheetData>
  <sheetProtection/>
  <mergeCells count="2">
    <mergeCell ref="A7:B7"/>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BN93"/>
  <sheetViews>
    <sheetView view="pageBreakPreview" zoomScale="70" zoomScaleNormal="70" zoomScaleSheetLayoutView="70" zoomScalePageLayoutView="0" workbookViewId="0" topLeftCell="A21">
      <selection activeCell="I32" sqref="I32"/>
    </sheetView>
  </sheetViews>
  <sheetFormatPr defaultColWidth="9.00390625" defaultRowHeight="15.75"/>
  <cols>
    <col min="1" max="1" width="8.125" style="1" customWidth="1"/>
    <col min="2" max="2" width="57.625" style="1" customWidth="1"/>
    <col min="3" max="3" width="13.75390625" style="1" customWidth="1"/>
    <col min="4" max="4" width="5.875" style="1" customWidth="1"/>
    <col min="5" max="5" width="5.625" style="1" customWidth="1"/>
    <col min="6" max="6" width="6.25390625" style="1" customWidth="1"/>
    <col min="7" max="7" width="10.50390625" style="1" customWidth="1"/>
    <col min="8" max="8" width="11.625" style="398" customWidth="1"/>
    <col min="9" max="9" width="11.625" style="396" customWidth="1"/>
    <col min="10" max="10" width="10.50390625" style="1" customWidth="1"/>
    <col min="11" max="11" width="8.00390625" style="398" customWidth="1"/>
    <col min="12" max="12" width="6.50390625" style="398" customWidth="1"/>
    <col min="13" max="13" width="8.75390625" style="398" customWidth="1"/>
    <col min="14" max="14" width="7.00390625" style="398" customWidth="1"/>
    <col min="15" max="15" width="6.875" style="398" customWidth="1"/>
    <col min="16" max="16" width="7.125" style="396" customWidth="1"/>
    <col min="17" max="17" width="7.375" style="396" customWidth="1"/>
    <col min="18" max="18" width="8.625" style="396" customWidth="1"/>
    <col min="19" max="20" width="7.375" style="396" customWidth="1"/>
    <col min="21" max="24" width="7.25390625" style="2" customWidth="1"/>
    <col min="25" max="26" width="10.50390625" style="2" customWidth="1"/>
    <col min="27" max="27" width="10.125" style="398" customWidth="1"/>
    <col min="28" max="28" width="12.125" style="396" customWidth="1"/>
    <col min="29" max="29" width="12.25390625" style="398" customWidth="1"/>
    <col min="30" max="30" width="14.375" style="396" customWidth="1"/>
    <col min="31" max="31" width="14.125" style="398" customWidth="1"/>
    <col min="32" max="32" width="13.125" style="396" customWidth="1"/>
    <col min="33" max="33" width="27.50390625" style="2" customWidth="1"/>
    <col min="34" max="34" width="7.25390625" style="2" customWidth="1"/>
    <col min="35" max="35" width="9.875" style="2" customWidth="1"/>
    <col min="36" max="36" width="7.125" style="2" customWidth="1"/>
    <col min="37" max="37" width="6.00390625" style="1" customWidth="1"/>
    <col min="38" max="38" width="8.375" style="1" customWidth="1"/>
    <col min="39" max="39" width="5.625" style="1" customWidth="1"/>
    <col min="40" max="40" width="7.375" style="1" customWidth="1"/>
    <col min="41" max="41" width="10.00390625" style="1" customWidth="1"/>
    <col min="42" max="42" width="7.875" style="1" customWidth="1"/>
    <col min="43" max="43" width="6.75390625" style="1" customWidth="1"/>
    <col min="44" max="44" width="9.00390625" style="1" customWidth="1"/>
    <col min="45" max="45" width="6.125" style="1" customWidth="1"/>
    <col min="46" max="46" width="6.75390625" style="1" customWidth="1"/>
    <col min="47" max="47" width="9.375" style="1" customWidth="1"/>
    <col min="48" max="48" width="7.375" style="1" customWidth="1"/>
    <col min="49" max="55" width="7.25390625" style="1" customWidth="1"/>
    <col min="56" max="56" width="8.625" style="1" customWidth="1"/>
    <col min="57" max="57" width="6.125" style="1" customWidth="1"/>
    <col min="58" max="58" width="6.875" style="1" customWidth="1"/>
    <col min="59" max="59" width="9.625" style="1" customWidth="1"/>
    <col min="60" max="60" width="6.75390625" style="1" customWidth="1"/>
    <col min="61" max="61" width="7.75390625" style="1" customWidth="1"/>
    <col min="62" max="16384" width="9.00390625" style="1" customWidth="1"/>
  </cols>
  <sheetData>
    <row r="1" spans="1:41" ht="18.75">
      <c r="A1" s="2"/>
      <c r="B1" s="2"/>
      <c r="C1" s="2"/>
      <c r="D1" s="2"/>
      <c r="E1" s="2"/>
      <c r="F1" s="2"/>
      <c r="G1" s="2"/>
      <c r="H1" s="2"/>
      <c r="I1" s="2"/>
      <c r="J1" s="2"/>
      <c r="K1" s="2"/>
      <c r="L1" s="2"/>
      <c r="M1" s="2"/>
      <c r="N1" s="2"/>
      <c r="O1" s="2"/>
      <c r="P1" s="2"/>
      <c r="Q1" s="2"/>
      <c r="R1" s="2"/>
      <c r="S1" s="2"/>
      <c r="T1" s="2"/>
      <c r="AA1" s="2"/>
      <c r="AB1" s="2"/>
      <c r="AC1" s="2"/>
      <c r="AD1" s="2"/>
      <c r="AE1" s="2"/>
      <c r="AF1" s="2"/>
      <c r="AG1" s="26" t="s">
        <v>117</v>
      </c>
      <c r="AK1" s="2"/>
      <c r="AL1" s="2"/>
      <c r="AM1" s="2"/>
      <c r="AN1" s="2"/>
      <c r="AO1" s="2"/>
    </row>
    <row r="2" spans="1:41" ht="18.75">
      <c r="A2" s="2"/>
      <c r="B2" s="2"/>
      <c r="C2" s="2"/>
      <c r="D2" s="2"/>
      <c r="E2" s="2"/>
      <c r="F2" s="2"/>
      <c r="G2" s="2"/>
      <c r="H2" s="2"/>
      <c r="I2" s="2"/>
      <c r="J2" s="2"/>
      <c r="K2" s="2"/>
      <c r="L2" s="2"/>
      <c r="M2" s="2"/>
      <c r="N2" s="2"/>
      <c r="O2" s="2"/>
      <c r="P2" s="2"/>
      <c r="Q2" s="2"/>
      <c r="R2" s="2"/>
      <c r="S2" s="2"/>
      <c r="T2" s="2"/>
      <c r="AA2" s="2"/>
      <c r="AB2" s="2"/>
      <c r="AC2" s="2"/>
      <c r="AD2" s="2"/>
      <c r="AE2" s="2"/>
      <c r="AF2" s="2"/>
      <c r="AG2" s="16" t="s">
        <v>423</v>
      </c>
      <c r="AK2" s="2"/>
      <c r="AL2" s="2"/>
      <c r="AM2" s="2"/>
      <c r="AN2" s="2"/>
      <c r="AO2" s="2"/>
    </row>
    <row r="3" spans="1:41" ht="18.75">
      <c r="A3" s="2"/>
      <c r="B3" s="2"/>
      <c r="C3" s="2"/>
      <c r="D3" s="2"/>
      <c r="E3" s="2"/>
      <c r="F3" s="2"/>
      <c r="G3" s="2"/>
      <c r="H3" s="2"/>
      <c r="I3" s="2"/>
      <c r="J3" s="2"/>
      <c r="K3" s="2"/>
      <c r="L3" s="2"/>
      <c r="M3" s="2"/>
      <c r="N3" s="2"/>
      <c r="O3" s="2"/>
      <c r="P3" s="2"/>
      <c r="Q3" s="2"/>
      <c r="R3" s="2"/>
      <c r="S3" s="2"/>
      <c r="T3" s="2"/>
      <c r="AA3" s="2"/>
      <c r="AB3" s="2"/>
      <c r="AC3" s="2"/>
      <c r="AD3" s="2"/>
      <c r="AE3" s="2"/>
      <c r="AF3" s="2"/>
      <c r="AG3" s="16" t="s">
        <v>589</v>
      </c>
      <c r="AK3" s="2"/>
      <c r="AL3" s="2"/>
      <c r="AM3" s="2"/>
      <c r="AN3" s="2"/>
      <c r="AO3" s="2"/>
    </row>
    <row r="4" spans="1:41" ht="18.75">
      <c r="A4" s="2"/>
      <c r="B4" s="2"/>
      <c r="C4" s="2"/>
      <c r="D4" s="2"/>
      <c r="E4" s="2"/>
      <c r="F4" s="2"/>
      <c r="G4" s="2"/>
      <c r="H4" s="2"/>
      <c r="I4" s="2"/>
      <c r="J4" s="2"/>
      <c r="K4" s="2"/>
      <c r="L4" s="2"/>
      <c r="M4" s="2"/>
      <c r="N4" s="2"/>
      <c r="O4" s="2"/>
      <c r="P4" s="2"/>
      <c r="Q4" s="2"/>
      <c r="R4" s="2"/>
      <c r="S4" s="2"/>
      <c r="T4" s="2"/>
      <c r="AA4" s="2"/>
      <c r="AB4" s="2"/>
      <c r="AC4" s="2"/>
      <c r="AD4" s="2"/>
      <c r="AE4" s="2"/>
      <c r="AF4" s="2"/>
      <c r="AG4" s="16"/>
      <c r="AK4" s="2"/>
      <c r="AL4" s="2"/>
      <c r="AM4" s="2"/>
      <c r="AN4" s="2"/>
      <c r="AO4" s="2"/>
    </row>
    <row r="5" spans="1:41" ht="18.75">
      <c r="A5" s="2"/>
      <c r="B5" s="2"/>
      <c r="C5" s="2"/>
      <c r="D5" s="2"/>
      <c r="E5" s="2"/>
      <c r="F5" s="2"/>
      <c r="G5" s="2"/>
      <c r="H5" s="2"/>
      <c r="I5" s="2"/>
      <c r="J5" s="2"/>
      <c r="K5" s="2"/>
      <c r="L5" s="2"/>
      <c r="M5" s="2"/>
      <c r="N5" s="2"/>
      <c r="O5" s="2"/>
      <c r="P5" s="2"/>
      <c r="Q5" s="2"/>
      <c r="R5" s="2"/>
      <c r="S5" s="2"/>
      <c r="T5" s="2"/>
      <c r="AA5" s="2"/>
      <c r="AB5" s="2"/>
      <c r="AC5" s="2"/>
      <c r="AD5" s="2"/>
      <c r="AE5" s="2"/>
      <c r="AF5" s="2"/>
      <c r="AG5" s="16" t="s">
        <v>591</v>
      </c>
      <c r="AK5" s="2"/>
      <c r="AL5" s="2"/>
      <c r="AM5" s="2"/>
      <c r="AN5" s="2"/>
      <c r="AO5" s="2"/>
    </row>
    <row r="6" spans="1:41" ht="18.75">
      <c r="A6" s="2"/>
      <c r="B6" s="2"/>
      <c r="C6" s="2"/>
      <c r="D6" s="2"/>
      <c r="E6" s="2"/>
      <c r="F6" s="2"/>
      <c r="G6" s="2"/>
      <c r="H6" s="2"/>
      <c r="I6" s="2"/>
      <c r="J6" s="2"/>
      <c r="K6" s="2"/>
      <c r="L6" s="2"/>
      <c r="M6" s="2"/>
      <c r="N6" s="2"/>
      <c r="O6" s="2"/>
      <c r="P6" s="2"/>
      <c r="Q6" s="2"/>
      <c r="R6" s="2"/>
      <c r="S6" s="2"/>
      <c r="T6" s="2"/>
      <c r="AA6" s="2"/>
      <c r="AB6" s="2"/>
      <c r="AC6" s="2"/>
      <c r="AD6" s="2"/>
      <c r="AE6" s="2"/>
      <c r="AF6" s="2"/>
      <c r="AG6" s="16" t="s">
        <v>592</v>
      </c>
      <c r="AK6" s="2"/>
      <c r="AL6" s="2"/>
      <c r="AM6" s="2"/>
      <c r="AN6" s="2"/>
      <c r="AO6" s="2"/>
    </row>
    <row r="7" spans="1:41" ht="18.75">
      <c r="A7" s="2"/>
      <c r="B7" s="2"/>
      <c r="C7" s="2"/>
      <c r="D7" s="2"/>
      <c r="E7" s="2"/>
      <c r="F7" s="2"/>
      <c r="G7" s="2"/>
      <c r="H7" s="2"/>
      <c r="I7" s="2"/>
      <c r="J7" s="2"/>
      <c r="K7" s="2"/>
      <c r="L7" s="2"/>
      <c r="M7" s="2"/>
      <c r="N7" s="2"/>
      <c r="O7" s="2"/>
      <c r="P7" s="2"/>
      <c r="Q7" s="2"/>
      <c r="R7" s="2"/>
      <c r="S7" s="2"/>
      <c r="T7" s="2"/>
      <c r="AA7" s="2"/>
      <c r="AB7" s="2"/>
      <c r="AC7" s="2"/>
      <c r="AD7" s="2"/>
      <c r="AE7" s="2"/>
      <c r="AF7" s="2"/>
      <c r="AG7" s="16"/>
      <c r="AK7" s="2"/>
      <c r="AL7" s="2"/>
      <c r="AM7" s="2"/>
      <c r="AN7" s="2"/>
      <c r="AO7" s="2"/>
    </row>
    <row r="8" spans="1:41" ht="18.75">
      <c r="A8" s="2"/>
      <c r="B8" s="2"/>
      <c r="C8" s="2"/>
      <c r="D8" s="2"/>
      <c r="E8" s="2"/>
      <c r="F8" s="2"/>
      <c r="G8" s="2"/>
      <c r="H8" s="2"/>
      <c r="I8" s="2"/>
      <c r="J8" s="2"/>
      <c r="K8" s="2"/>
      <c r="L8" s="2"/>
      <c r="M8" s="2"/>
      <c r="N8" s="2"/>
      <c r="O8" s="2"/>
      <c r="P8" s="2"/>
      <c r="Q8" s="2"/>
      <c r="R8" s="2"/>
      <c r="S8" s="2"/>
      <c r="T8" s="2"/>
      <c r="AA8" s="2"/>
      <c r="AB8" s="2"/>
      <c r="AC8" s="2"/>
      <c r="AD8" s="2"/>
      <c r="AE8" s="2"/>
      <c r="AF8" s="2"/>
      <c r="AG8" s="16" t="s">
        <v>723</v>
      </c>
      <c r="AK8" s="2"/>
      <c r="AL8" s="2"/>
      <c r="AM8" s="2"/>
      <c r="AN8" s="2"/>
      <c r="AO8" s="2"/>
    </row>
    <row r="9" spans="1:41" ht="18.75">
      <c r="A9" s="2"/>
      <c r="B9" s="2"/>
      <c r="C9" s="2"/>
      <c r="D9" s="2"/>
      <c r="E9" s="2"/>
      <c r="F9" s="2"/>
      <c r="G9" s="2"/>
      <c r="H9" s="2"/>
      <c r="I9" s="2"/>
      <c r="J9" s="2"/>
      <c r="K9" s="2"/>
      <c r="L9" s="2"/>
      <c r="M9" s="2"/>
      <c r="N9" s="2"/>
      <c r="O9" s="2"/>
      <c r="P9" s="2"/>
      <c r="Q9" s="2"/>
      <c r="R9" s="2"/>
      <c r="S9" s="2"/>
      <c r="T9" s="2"/>
      <c r="AA9" s="2"/>
      <c r="AB9" s="2"/>
      <c r="AC9" s="2"/>
      <c r="AD9" s="2"/>
      <c r="AE9" s="2"/>
      <c r="AF9" s="2" t="s">
        <v>593</v>
      </c>
      <c r="AG9" s="16"/>
      <c r="AK9" s="2"/>
      <c r="AL9" s="2"/>
      <c r="AM9" s="2"/>
      <c r="AN9" s="2"/>
      <c r="AO9" s="2"/>
    </row>
    <row r="10" spans="1:41" ht="18.75">
      <c r="A10" s="2"/>
      <c r="B10" s="2"/>
      <c r="C10" s="2"/>
      <c r="D10" s="2"/>
      <c r="E10" s="2"/>
      <c r="F10" s="2"/>
      <c r="G10" s="2"/>
      <c r="H10" s="2"/>
      <c r="I10" s="2"/>
      <c r="J10" s="2"/>
      <c r="K10" s="2"/>
      <c r="L10" s="2"/>
      <c r="M10" s="2"/>
      <c r="N10" s="2"/>
      <c r="O10" s="2"/>
      <c r="P10" s="2"/>
      <c r="Q10" s="2"/>
      <c r="R10" s="2"/>
      <c r="S10" s="2"/>
      <c r="T10" s="2"/>
      <c r="AA10" s="2"/>
      <c r="AB10" s="2"/>
      <c r="AC10" s="2"/>
      <c r="AD10" s="2"/>
      <c r="AE10" s="2"/>
      <c r="AF10" s="2"/>
      <c r="AG10" s="16" t="s">
        <v>724</v>
      </c>
      <c r="AK10" s="2"/>
      <c r="AL10" s="2"/>
      <c r="AM10" s="2"/>
      <c r="AN10" s="2"/>
      <c r="AO10" s="2"/>
    </row>
    <row r="11" spans="1:41" ht="18.75">
      <c r="A11" s="560" t="s">
        <v>194</v>
      </c>
      <c r="B11" s="560"/>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K11" s="2"/>
      <c r="AL11" s="2"/>
      <c r="AM11" s="2"/>
      <c r="AN11" s="2"/>
      <c r="AO11" s="2"/>
    </row>
    <row r="12" spans="1:64" ht="18.75">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row>
    <row r="13" spans="1:66" ht="18.75">
      <c r="A13" s="532" t="str">
        <f>1!A14:U14</f>
        <v>Инвестиционная программа Филиала "Железноводские электрические сети" ООО "КЭУК".</v>
      </c>
      <c r="B13" s="532"/>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row>
    <row r="14" spans="1:66" ht="15.75">
      <c r="A14" s="542" t="s">
        <v>109</v>
      </c>
      <c r="B14" s="542"/>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row>
    <row r="15" spans="1:41" ht="18.75">
      <c r="A15" s="2"/>
      <c r="B15" s="2"/>
      <c r="C15" s="2"/>
      <c r="D15" s="2"/>
      <c r="E15" s="2"/>
      <c r="F15" s="2"/>
      <c r="G15" s="2"/>
      <c r="H15" s="2"/>
      <c r="I15" s="2"/>
      <c r="J15" s="2"/>
      <c r="K15" s="2"/>
      <c r="L15" s="2"/>
      <c r="M15" s="2"/>
      <c r="N15" s="2"/>
      <c r="O15" s="2"/>
      <c r="P15" s="2"/>
      <c r="Q15" s="2"/>
      <c r="R15" s="2"/>
      <c r="S15" s="2"/>
      <c r="T15" s="2"/>
      <c r="AA15" s="2"/>
      <c r="AB15" s="2"/>
      <c r="AC15" s="2"/>
      <c r="AD15" s="2"/>
      <c r="AE15" s="2"/>
      <c r="AF15" s="116"/>
      <c r="AK15" s="2"/>
      <c r="AL15" s="2"/>
      <c r="AM15" s="2"/>
      <c r="AN15" s="2"/>
      <c r="AO15" s="2"/>
    </row>
    <row r="16" spans="1:63" ht="18.75">
      <c r="A16" s="559" t="str">
        <f>1!A17:U17</f>
        <v>Год раскрытия информации: 2018 год</v>
      </c>
      <c r="B16" s="559"/>
      <c r="C16" s="559"/>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row>
    <row r="17" spans="1:63" ht="18.7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row>
    <row r="18" spans="1:61" ht="15.75" customHeight="1" thickBot="1">
      <c r="A18" s="602"/>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21"/>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ht="72.75" customHeight="1">
      <c r="A19" s="563" t="s">
        <v>604</v>
      </c>
      <c r="B19" s="557" t="s">
        <v>452</v>
      </c>
      <c r="C19" s="557" t="s">
        <v>426</v>
      </c>
      <c r="D19" s="577" t="s">
        <v>25</v>
      </c>
      <c r="E19" s="577" t="s">
        <v>29</v>
      </c>
      <c r="F19" s="557" t="s">
        <v>30</v>
      </c>
      <c r="G19" s="557"/>
      <c r="H19" s="557" t="s">
        <v>243</v>
      </c>
      <c r="I19" s="557"/>
      <c r="J19" s="597" t="s">
        <v>269</v>
      </c>
      <c r="K19" s="594" t="s">
        <v>55</v>
      </c>
      <c r="L19" s="595"/>
      <c r="M19" s="595"/>
      <c r="N19" s="595"/>
      <c r="O19" s="595"/>
      <c r="P19" s="595"/>
      <c r="Q19" s="595"/>
      <c r="R19" s="595"/>
      <c r="S19" s="595"/>
      <c r="T19" s="596"/>
      <c r="U19" s="594" t="s">
        <v>54</v>
      </c>
      <c r="V19" s="595"/>
      <c r="W19" s="595"/>
      <c r="X19" s="595"/>
      <c r="Y19" s="595"/>
      <c r="Z19" s="596"/>
      <c r="AA19" s="571" t="s">
        <v>601</v>
      </c>
      <c r="AB19" s="573"/>
      <c r="AC19" s="594" t="s">
        <v>244</v>
      </c>
      <c r="AD19" s="595"/>
      <c r="AE19" s="595"/>
      <c r="AF19" s="595"/>
      <c r="AG19" s="599" t="s">
        <v>208</v>
      </c>
      <c r="AK19" s="2"/>
      <c r="AL19" s="2"/>
      <c r="AM19" s="2"/>
      <c r="AN19" s="2"/>
      <c r="AO19" s="2"/>
      <c r="AP19" s="2"/>
      <c r="AQ19" s="2"/>
      <c r="AR19" s="2"/>
      <c r="AS19" s="2"/>
      <c r="AT19" s="2"/>
      <c r="AU19" s="2"/>
      <c r="AV19" s="2"/>
      <c r="AW19" s="2"/>
      <c r="AX19" s="2"/>
      <c r="AY19" s="2"/>
      <c r="AZ19" s="2"/>
      <c r="BA19" s="2"/>
      <c r="BB19" s="2"/>
      <c r="BC19" s="2"/>
      <c r="BD19" s="2"/>
      <c r="BE19" s="2"/>
      <c r="BF19" s="2"/>
      <c r="BG19" s="2"/>
      <c r="BH19" s="2"/>
      <c r="BI19" s="2"/>
    </row>
    <row r="20" spans="1:61" ht="66" customHeight="1">
      <c r="A20" s="564"/>
      <c r="B20" s="556"/>
      <c r="C20" s="556"/>
      <c r="D20" s="578"/>
      <c r="E20" s="578"/>
      <c r="F20" s="556"/>
      <c r="G20" s="556"/>
      <c r="H20" s="556"/>
      <c r="I20" s="556"/>
      <c r="J20" s="598"/>
      <c r="K20" s="568" t="s">
        <v>440</v>
      </c>
      <c r="L20" s="569"/>
      <c r="M20" s="569"/>
      <c r="N20" s="569"/>
      <c r="O20" s="570"/>
      <c r="P20" s="568" t="s">
        <v>623</v>
      </c>
      <c r="Q20" s="569"/>
      <c r="R20" s="569"/>
      <c r="S20" s="569"/>
      <c r="T20" s="570"/>
      <c r="U20" s="556" t="s">
        <v>603</v>
      </c>
      <c r="V20" s="556"/>
      <c r="W20" s="568" t="s">
        <v>270</v>
      </c>
      <c r="X20" s="570"/>
      <c r="Y20" s="556" t="s">
        <v>602</v>
      </c>
      <c r="Z20" s="556"/>
      <c r="AA20" s="574"/>
      <c r="AB20" s="576"/>
      <c r="AC20" s="601" t="s">
        <v>600</v>
      </c>
      <c r="AD20" s="601"/>
      <c r="AE20" s="556" t="s">
        <v>459</v>
      </c>
      <c r="AF20" s="556" t="s">
        <v>626</v>
      </c>
      <c r="AG20" s="600"/>
      <c r="AK20" s="2"/>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1:61" ht="147" customHeight="1" thickBot="1">
      <c r="A21" s="565"/>
      <c r="B21" s="562"/>
      <c r="C21" s="562"/>
      <c r="D21" s="579"/>
      <c r="E21" s="579"/>
      <c r="F21" s="177" t="s">
        <v>440</v>
      </c>
      <c r="G21" s="177" t="s">
        <v>623</v>
      </c>
      <c r="H21" s="177" t="s">
        <v>209</v>
      </c>
      <c r="I21" s="177" t="s">
        <v>623</v>
      </c>
      <c r="J21" s="598"/>
      <c r="K21" s="176" t="s">
        <v>436</v>
      </c>
      <c r="L21" s="176" t="s">
        <v>450</v>
      </c>
      <c r="M21" s="176" t="s">
        <v>451</v>
      </c>
      <c r="N21" s="489" t="s">
        <v>4</v>
      </c>
      <c r="O21" s="489" t="s">
        <v>5</v>
      </c>
      <c r="P21" s="176" t="s">
        <v>436</v>
      </c>
      <c r="Q21" s="176" t="s">
        <v>450</v>
      </c>
      <c r="R21" s="176" t="s">
        <v>451</v>
      </c>
      <c r="S21" s="489" t="s">
        <v>4</v>
      </c>
      <c r="T21" s="489" t="s">
        <v>5</v>
      </c>
      <c r="U21" s="176" t="s">
        <v>435</v>
      </c>
      <c r="V21" s="176" t="s">
        <v>443</v>
      </c>
      <c r="W21" s="176" t="s">
        <v>435</v>
      </c>
      <c r="X21" s="176" t="s">
        <v>443</v>
      </c>
      <c r="Y21" s="176" t="s">
        <v>435</v>
      </c>
      <c r="Z21" s="176" t="s">
        <v>443</v>
      </c>
      <c r="AA21" s="487" t="s">
        <v>627</v>
      </c>
      <c r="AB21" s="487" t="s">
        <v>628</v>
      </c>
      <c r="AC21" s="487" t="s">
        <v>627</v>
      </c>
      <c r="AD21" s="487" t="s">
        <v>628</v>
      </c>
      <c r="AE21" s="562"/>
      <c r="AF21" s="562"/>
      <c r="AG21" s="600"/>
      <c r="AK21" s="2"/>
      <c r="AL21" s="2"/>
      <c r="AM21" s="2"/>
      <c r="AN21" s="2"/>
      <c r="AO21" s="2"/>
      <c r="AP21" s="2"/>
      <c r="AQ21" s="2"/>
      <c r="AR21" s="2"/>
      <c r="AS21" s="2"/>
      <c r="AT21" s="2"/>
      <c r="AU21" s="2"/>
      <c r="AV21" s="2"/>
      <c r="AW21" s="2"/>
      <c r="AX21" s="2"/>
      <c r="AY21" s="2"/>
      <c r="AZ21" s="2"/>
      <c r="BA21" s="2"/>
      <c r="BB21" s="2"/>
      <c r="BC21" s="2"/>
      <c r="BD21" s="2"/>
      <c r="BE21" s="2"/>
      <c r="BF21" s="2"/>
      <c r="BG21" s="2"/>
      <c r="BH21" s="2"/>
      <c r="BI21" s="2"/>
    </row>
    <row r="22" spans="1:61" ht="19.5" customHeight="1" thickBot="1">
      <c r="A22" s="220">
        <v>1</v>
      </c>
      <c r="B22" s="221">
        <v>2</v>
      </c>
      <c r="C22" s="221">
        <v>3</v>
      </c>
      <c r="D22" s="221">
        <v>4</v>
      </c>
      <c r="E22" s="221">
        <v>5</v>
      </c>
      <c r="F22" s="221">
        <v>6</v>
      </c>
      <c r="G22" s="221">
        <v>7</v>
      </c>
      <c r="H22" s="221">
        <v>8</v>
      </c>
      <c r="I22" s="221">
        <v>9</v>
      </c>
      <c r="J22" s="221">
        <v>10</v>
      </c>
      <c r="K22" s="221">
        <v>11</v>
      </c>
      <c r="L22" s="221">
        <v>12</v>
      </c>
      <c r="M22" s="221">
        <v>13</v>
      </c>
      <c r="N22" s="221">
        <v>14</v>
      </c>
      <c r="O22" s="221">
        <v>15</v>
      </c>
      <c r="P22" s="221">
        <v>16</v>
      </c>
      <c r="Q22" s="221">
        <v>17</v>
      </c>
      <c r="R22" s="221">
        <v>18</v>
      </c>
      <c r="S22" s="221">
        <v>19</v>
      </c>
      <c r="T22" s="221">
        <v>20</v>
      </c>
      <c r="U22" s="221">
        <v>21</v>
      </c>
      <c r="V22" s="221">
        <v>22</v>
      </c>
      <c r="W22" s="221">
        <v>23</v>
      </c>
      <c r="X22" s="221">
        <v>24</v>
      </c>
      <c r="Y22" s="221">
        <v>25</v>
      </c>
      <c r="Z22" s="221">
        <v>26</v>
      </c>
      <c r="AA22" s="221">
        <v>27</v>
      </c>
      <c r="AB22" s="221">
        <v>28</v>
      </c>
      <c r="AC22" s="470" t="s">
        <v>212</v>
      </c>
      <c r="AD22" s="470" t="s">
        <v>213</v>
      </c>
      <c r="AE22" s="221">
        <v>30</v>
      </c>
      <c r="AF22" s="221">
        <v>31</v>
      </c>
      <c r="AG22" s="223">
        <v>32</v>
      </c>
      <c r="AK22" s="2"/>
      <c r="AL22" s="2"/>
      <c r="AM22" s="2"/>
      <c r="AN22" s="2"/>
      <c r="AO22" s="2"/>
      <c r="AP22" s="2"/>
      <c r="AQ22" s="2"/>
      <c r="AR22" s="2"/>
      <c r="AS22" s="2"/>
      <c r="AT22" s="2"/>
      <c r="AU22" s="2"/>
      <c r="AV22" s="2"/>
      <c r="AW22" s="2"/>
      <c r="AX22" s="2"/>
      <c r="AY22" s="2"/>
      <c r="AZ22" s="2"/>
      <c r="BA22" s="2"/>
      <c r="BB22" s="2"/>
      <c r="BC22" s="2"/>
      <c r="BD22" s="2"/>
      <c r="BE22" s="2"/>
      <c r="BF22" s="2"/>
      <c r="BG22" s="2"/>
      <c r="BH22" s="2"/>
      <c r="BI22" s="2"/>
    </row>
    <row r="23" spans="1:33" s="5" customFormat="1" ht="31.5">
      <c r="A23" s="323"/>
      <c r="B23" s="194" t="s">
        <v>475</v>
      </c>
      <c r="C23" s="503" t="s">
        <v>261</v>
      </c>
      <c r="D23" s="218"/>
      <c r="E23" s="218"/>
      <c r="F23" s="218"/>
      <c r="G23" s="218"/>
      <c r="H23" s="490">
        <f>SUM(H24:H29)</f>
        <v>32.220242525254235</v>
      </c>
      <c r="I23" s="490">
        <f>SUM(I24:I29)</f>
        <v>31.77986395355932</v>
      </c>
      <c r="J23" s="218"/>
      <c r="K23" s="490">
        <f aca="true" t="shared" si="0" ref="K23:T23">SUM(K24:K29)</f>
        <v>32.220242525254235</v>
      </c>
      <c r="L23" s="490">
        <f t="shared" si="0"/>
        <v>0.19491525423728817</v>
      </c>
      <c r="M23" s="490">
        <f t="shared" si="0"/>
        <v>9.193375794628814</v>
      </c>
      <c r="N23" s="490">
        <f t="shared" si="0"/>
        <v>22.873362426388137</v>
      </c>
      <c r="O23" s="490">
        <f t="shared" si="0"/>
        <v>0</v>
      </c>
      <c r="P23" s="490">
        <f t="shared" si="0"/>
        <v>31.77986395355932</v>
      </c>
      <c r="Q23" s="490">
        <f t="shared" si="0"/>
        <v>0.19491525423728817</v>
      </c>
      <c r="R23" s="490">
        <f t="shared" si="0"/>
        <v>8.757041356662713</v>
      </c>
      <c r="S23" s="490">
        <f t="shared" si="0"/>
        <v>22.827907342659323</v>
      </c>
      <c r="T23" s="490">
        <f t="shared" si="0"/>
        <v>0</v>
      </c>
      <c r="U23" s="218"/>
      <c r="V23" s="218"/>
      <c r="W23" s="218"/>
      <c r="X23" s="218"/>
      <c r="Y23" s="218"/>
      <c r="Z23" s="218"/>
      <c r="AA23" s="490">
        <f aca="true" t="shared" si="1" ref="AA23:AF23">SUM(AA24:AA29)</f>
        <v>32.220242525254235</v>
      </c>
      <c r="AB23" s="490">
        <f t="shared" si="1"/>
        <v>31.77986395355932</v>
      </c>
      <c r="AC23" s="490">
        <f t="shared" si="1"/>
        <v>32.220242525254235</v>
      </c>
      <c r="AD23" s="490">
        <f t="shared" si="1"/>
        <v>31.77986395355932</v>
      </c>
      <c r="AE23" s="490">
        <f t="shared" si="1"/>
        <v>32.220242525254235</v>
      </c>
      <c r="AF23" s="490">
        <f t="shared" si="1"/>
        <v>31.77986395355932</v>
      </c>
      <c r="AG23" s="232"/>
    </row>
    <row r="24" spans="1:33" s="5" customFormat="1" ht="15.75">
      <c r="A24" s="207" t="s">
        <v>476</v>
      </c>
      <c r="B24" s="159" t="s">
        <v>477</v>
      </c>
      <c r="C24" s="504" t="s">
        <v>261</v>
      </c>
      <c r="D24" s="141"/>
      <c r="E24" s="141"/>
      <c r="F24" s="141"/>
      <c r="G24" s="141"/>
      <c r="H24" s="473">
        <f>H52</f>
        <v>11.0606299</v>
      </c>
      <c r="I24" s="473">
        <f>I52</f>
        <v>11.0606299</v>
      </c>
      <c r="J24" s="141"/>
      <c r="K24" s="473">
        <f>K52</f>
        <v>11.0606299</v>
      </c>
      <c r="L24" s="473">
        <f aca="true" t="shared" si="2" ref="L24:T24">L52</f>
        <v>0.025423728813559324</v>
      </c>
      <c r="M24" s="473">
        <f t="shared" si="2"/>
        <v>2.802403757786441</v>
      </c>
      <c r="N24" s="473">
        <f t="shared" si="2"/>
        <v>8.2328024134</v>
      </c>
      <c r="O24" s="473">
        <f t="shared" si="2"/>
        <v>0</v>
      </c>
      <c r="P24" s="473">
        <f t="shared" si="2"/>
        <v>11.0606299</v>
      </c>
      <c r="Q24" s="473">
        <f t="shared" si="2"/>
        <v>0.025423728813559324</v>
      </c>
      <c r="R24" s="473">
        <f t="shared" si="2"/>
        <v>2.802403757786441</v>
      </c>
      <c r="S24" s="473">
        <f t="shared" si="2"/>
        <v>8.2328024134</v>
      </c>
      <c r="T24" s="473">
        <f t="shared" si="2"/>
        <v>0</v>
      </c>
      <c r="U24" s="141"/>
      <c r="V24" s="141"/>
      <c r="W24" s="141"/>
      <c r="X24" s="141"/>
      <c r="Y24" s="141"/>
      <c r="Z24" s="141"/>
      <c r="AA24" s="473">
        <f aca="true" t="shared" si="3" ref="AA24:AF24">AA52</f>
        <v>11.0606299</v>
      </c>
      <c r="AB24" s="473">
        <f t="shared" si="3"/>
        <v>11.0606299</v>
      </c>
      <c r="AC24" s="473">
        <f t="shared" si="3"/>
        <v>11.0606299</v>
      </c>
      <c r="AD24" s="473">
        <f t="shared" si="3"/>
        <v>11.0606299</v>
      </c>
      <c r="AE24" s="473">
        <f t="shared" si="3"/>
        <v>11.0606299</v>
      </c>
      <c r="AF24" s="473">
        <f t="shared" si="3"/>
        <v>11.0606299</v>
      </c>
      <c r="AG24" s="228"/>
    </row>
    <row r="25" spans="1:33" s="5" customFormat="1" ht="31.5">
      <c r="A25" s="207" t="s">
        <v>478</v>
      </c>
      <c r="B25" s="159" t="s">
        <v>479</v>
      </c>
      <c r="C25" s="504" t="s">
        <v>261</v>
      </c>
      <c r="D25" s="141"/>
      <c r="E25" s="141"/>
      <c r="F25" s="141"/>
      <c r="G25" s="141"/>
      <c r="H25" s="473">
        <f>H30</f>
        <v>12.353253438813558</v>
      </c>
      <c r="I25" s="473">
        <f>I30</f>
        <v>11.83400567</v>
      </c>
      <c r="J25" s="141"/>
      <c r="K25" s="473">
        <f aca="true" t="shared" si="4" ref="K25:T25">K30</f>
        <v>12.353253438813558</v>
      </c>
      <c r="L25" s="473">
        <f t="shared" si="4"/>
        <v>0</v>
      </c>
      <c r="M25" s="473">
        <f t="shared" si="4"/>
        <v>5.16078808461356</v>
      </c>
      <c r="N25" s="473">
        <f t="shared" si="4"/>
        <v>7.233876304200001</v>
      </c>
      <c r="O25" s="473">
        <f t="shared" si="4"/>
        <v>0</v>
      </c>
      <c r="P25" s="473">
        <f t="shared" si="4"/>
        <v>11.83400567</v>
      </c>
      <c r="Q25" s="473">
        <f t="shared" si="4"/>
        <v>0</v>
      </c>
      <c r="R25" s="473">
        <f t="shared" si="4"/>
        <v>4.6001293658</v>
      </c>
      <c r="S25" s="473">
        <f t="shared" si="4"/>
        <v>7.233876304200001</v>
      </c>
      <c r="T25" s="473">
        <f t="shared" si="4"/>
        <v>0</v>
      </c>
      <c r="U25" s="141"/>
      <c r="V25" s="141"/>
      <c r="W25" s="141"/>
      <c r="X25" s="141"/>
      <c r="Y25" s="141"/>
      <c r="Z25" s="141"/>
      <c r="AA25" s="473">
        <f aca="true" t="shared" si="5" ref="AA25:AF25">AA30</f>
        <v>12.353253438813558</v>
      </c>
      <c r="AB25" s="473">
        <f t="shared" si="5"/>
        <v>11.83400567</v>
      </c>
      <c r="AC25" s="473">
        <f t="shared" si="5"/>
        <v>12.353253438813558</v>
      </c>
      <c r="AD25" s="473">
        <f t="shared" si="5"/>
        <v>11.83400567</v>
      </c>
      <c r="AE25" s="473">
        <f t="shared" si="5"/>
        <v>12.353253438813558</v>
      </c>
      <c r="AF25" s="473">
        <f t="shared" si="5"/>
        <v>11.83400567</v>
      </c>
      <c r="AG25" s="228"/>
    </row>
    <row r="26" spans="1:33" s="5" customFormat="1" ht="47.25">
      <c r="A26" s="207" t="s">
        <v>480</v>
      </c>
      <c r="B26" s="159" t="s">
        <v>481</v>
      </c>
      <c r="C26" s="504" t="s">
        <v>261</v>
      </c>
      <c r="D26" s="141"/>
      <c r="E26" s="141"/>
      <c r="F26" s="141"/>
      <c r="G26" s="141"/>
      <c r="H26" s="473">
        <v>0</v>
      </c>
      <c r="I26" s="473">
        <v>0</v>
      </c>
      <c r="J26" s="141"/>
      <c r="K26" s="473">
        <v>0</v>
      </c>
      <c r="L26" s="473">
        <v>0</v>
      </c>
      <c r="M26" s="473">
        <v>0</v>
      </c>
      <c r="N26" s="473">
        <v>0</v>
      </c>
      <c r="O26" s="473">
        <v>0</v>
      </c>
      <c r="P26" s="473">
        <v>0</v>
      </c>
      <c r="Q26" s="473">
        <v>0</v>
      </c>
      <c r="R26" s="473">
        <v>0</v>
      </c>
      <c r="S26" s="473">
        <v>0</v>
      </c>
      <c r="T26" s="473">
        <v>0</v>
      </c>
      <c r="U26" s="141"/>
      <c r="V26" s="141"/>
      <c r="W26" s="141"/>
      <c r="X26" s="141"/>
      <c r="Y26" s="141"/>
      <c r="Z26" s="141"/>
      <c r="AA26" s="473">
        <v>0</v>
      </c>
      <c r="AB26" s="473">
        <v>0</v>
      </c>
      <c r="AC26" s="473">
        <v>0</v>
      </c>
      <c r="AD26" s="473">
        <v>0</v>
      </c>
      <c r="AE26" s="473">
        <v>0</v>
      </c>
      <c r="AF26" s="473">
        <v>0</v>
      </c>
      <c r="AG26" s="228"/>
    </row>
    <row r="27" spans="1:33" s="5" customFormat="1" ht="31.5">
      <c r="A27" s="207" t="s">
        <v>482</v>
      </c>
      <c r="B27" s="159" t="s">
        <v>483</v>
      </c>
      <c r="C27" s="504" t="s">
        <v>261</v>
      </c>
      <c r="D27" s="141"/>
      <c r="E27" s="141"/>
      <c r="F27" s="141"/>
      <c r="G27" s="141"/>
      <c r="H27" s="473">
        <f>H50</f>
        <v>6.2898049491525425</v>
      </c>
      <c r="I27" s="473">
        <f>I50</f>
        <v>6.46007275</v>
      </c>
      <c r="J27" s="141"/>
      <c r="K27" s="473">
        <f aca="true" t="shared" si="6" ref="K27:T27">K50</f>
        <v>6.2898049491525425</v>
      </c>
      <c r="L27" s="473">
        <f t="shared" si="6"/>
        <v>0.16949152542372883</v>
      </c>
      <c r="M27" s="473">
        <f t="shared" si="6"/>
        <v>0.743154472228813</v>
      </c>
      <c r="N27" s="473">
        <f t="shared" si="6"/>
        <v>5.3771589515</v>
      </c>
      <c r="O27" s="473">
        <f t="shared" si="6"/>
        <v>0</v>
      </c>
      <c r="P27" s="473">
        <f t="shared" si="6"/>
        <v>6.46007275</v>
      </c>
      <c r="Q27" s="473">
        <f t="shared" si="6"/>
        <v>0.16949152542372883</v>
      </c>
      <c r="R27" s="473">
        <f t="shared" si="6"/>
        <v>0.9134222730762707</v>
      </c>
      <c r="S27" s="473">
        <f t="shared" si="6"/>
        <v>5.3771589515</v>
      </c>
      <c r="T27" s="473">
        <f t="shared" si="6"/>
        <v>0</v>
      </c>
      <c r="U27" s="141"/>
      <c r="V27" s="141"/>
      <c r="W27" s="141"/>
      <c r="X27" s="141"/>
      <c r="Y27" s="141"/>
      <c r="Z27" s="141"/>
      <c r="AA27" s="473">
        <f aca="true" t="shared" si="7" ref="AA27:AF27">AA50</f>
        <v>6.2898049491525425</v>
      </c>
      <c r="AB27" s="473">
        <f t="shared" si="7"/>
        <v>6.46007275</v>
      </c>
      <c r="AC27" s="473">
        <f t="shared" si="7"/>
        <v>6.2898049491525425</v>
      </c>
      <c r="AD27" s="473">
        <f t="shared" si="7"/>
        <v>6.46007275</v>
      </c>
      <c r="AE27" s="473">
        <f t="shared" si="7"/>
        <v>6.2898049491525425</v>
      </c>
      <c r="AF27" s="473">
        <f t="shared" si="7"/>
        <v>6.46007275</v>
      </c>
      <c r="AG27" s="228"/>
    </row>
    <row r="28" spans="1:33" s="5" customFormat="1" ht="31.5">
      <c r="A28" s="207" t="s">
        <v>484</v>
      </c>
      <c r="B28" s="160" t="s">
        <v>485</v>
      </c>
      <c r="C28" s="504" t="s">
        <v>261</v>
      </c>
      <c r="D28" s="141"/>
      <c r="E28" s="141"/>
      <c r="F28" s="141"/>
      <c r="G28" s="141"/>
      <c r="H28" s="473">
        <v>0</v>
      </c>
      <c r="I28" s="473">
        <v>0</v>
      </c>
      <c r="J28" s="141"/>
      <c r="K28" s="473">
        <v>0</v>
      </c>
      <c r="L28" s="473">
        <v>0</v>
      </c>
      <c r="M28" s="473">
        <v>0</v>
      </c>
      <c r="N28" s="473">
        <v>0</v>
      </c>
      <c r="O28" s="473">
        <v>0</v>
      </c>
      <c r="P28" s="473">
        <v>0</v>
      </c>
      <c r="Q28" s="473">
        <v>0</v>
      </c>
      <c r="R28" s="473">
        <v>0</v>
      </c>
      <c r="S28" s="473">
        <v>0</v>
      </c>
      <c r="T28" s="473">
        <v>0</v>
      </c>
      <c r="U28" s="141"/>
      <c r="V28" s="141"/>
      <c r="W28" s="141"/>
      <c r="X28" s="141"/>
      <c r="Y28" s="141"/>
      <c r="Z28" s="141"/>
      <c r="AA28" s="473">
        <v>0</v>
      </c>
      <c r="AB28" s="473">
        <v>0</v>
      </c>
      <c r="AC28" s="473">
        <v>0</v>
      </c>
      <c r="AD28" s="473">
        <v>0</v>
      </c>
      <c r="AE28" s="473">
        <v>0</v>
      </c>
      <c r="AF28" s="473">
        <v>0</v>
      </c>
      <c r="AG28" s="228"/>
    </row>
    <row r="29" spans="1:33" s="5" customFormat="1" ht="15.75">
      <c r="A29" s="207" t="s">
        <v>486</v>
      </c>
      <c r="B29" s="160" t="s">
        <v>487</v>
      </c>
      <c r="C29" s="504" t="s">
        <v>261</v>
      </c>
      <c r="D29" s="141"/>
      <c r="E29" s="141"/>
      <c r="F29" s="141"/>
      <c r="G29" s="141"/>
      <c r="H29" s="473">
        <f>H45</f>
        <v>2.5165542372881355</v>
      </c>
      <c r="I29" s="473">
        <f>I45</f>
        <v>2.4251556335593216</v>
      </c>
      <c r="J29" s="141"/>
      <c r="K29" s="473">
        <f aca="true" t="shared" si="8" ref="K29:T29">K45</f>
        <v>2.5165542372881355</v>
      </c>
      <c r="L29" s="473">
        <f t="shared" si="8"/>
        <v>0</v>
      </c>
      <c r="M29" s="473">
        <f t="shared" si="8"/>
        <v>0.4870294799999999</v>
      </c>
      <c r="N29" s="473">
        <f t="shared" si="8"/>
        <v>2.0295247572881356</v>
      </c>
      <c r="O29" s="473">
        <f t="shared" si="8"/>
        <v>0</v>
      </c>
      <c r="P29" s="473">
        <f t="shared" si="8"/>
        <v>2.4251556335593216</v>
      </c>
      <c r="Q29" s="473">
        <f t="shared" si="8"/>
        <v>0</v>
      </c>
      <c r="R29" s="473">
        <f t="shared" si="8"/>
        <v>0.4410859599999999</v>
      </c>
      <c r="S29" s="473">
        <f t="shared" si="8"/>
        <v>1.984069673559322</v>
      </c>
      <c r="T29" s="473">
        <f t="shared" si="8"/>
        <v>0</v>
      </c>
      <c r="U29" s="141"/>
      <c r="V29" s="141"/>
      <c r="W29" s="141"/>
      <c r="X29" s="141"/>
      <c r="Y29" s="141"/>
      <c r="Z29" s="141"/>
      <c r="AA29" s="473">
        <f aca="true" t="shared" si="9" ref="AA29:AF29">AA45</f>
        <v>2.5165542372881355</v>
      </c>
      <c r="AB29" s="473">
        <f t="shared" si="9"/>
        <v>2.4251556335593216</v>
      </c>
      <c r="AC29" s="473">
        <f t="shared" si="9"/>
        <v>2.5165542372881355</v>
      </c>
      <c r="AD29" s="473">
        <f t="shared" si="9"/>
        <v>2.4251556335593216</v>
      </c>
      <c r="AE29" s="473">
        <f t="shared" si="9"/>
        <v>2.5165542372881355</v>
      </c>
      <c r="AF29" s="473">
        <f t="shared" si="9"/>
        <v>2.4251556335593216</v>
      </c>
      <c r="AG29" s="228"/>
    </row>
    <row r="30" spans="1:33" s="5" customFormat="1" ht="31.5">
      <c r="A30" s="325">
        <v>1</v>
      </c>
      <c r="B30" s="161" t="s">
        <v>260</v>
      </c>
      <c r="C30" s="504" t="s">
        <v>261</v>
      </c>
      <c r="D30" s="141"/>
      <c r="E30" s="141"/>
      <c r="F30" s="141"/>
      <c r="G30" s="141"/>
      <c r="H30" s="473">
        <f>H31+H42</f>
        <v>12.353253438813558</v>
      </c>
      <c r="I30" s="473">
        <f>I31+I42</f>
        <v>11.83400567</v>
      </c>
      <c r="J30" s="141"/>
      <c r="K30" s="473">
        <f aca="true" t="shared" si="10" ref="K30:T30">K31+K42</f>
        <v>12.353253438813558</v>
      </c>
      <c r="L30" s="473">
        <f t="shared" si="10"/>
        <v>0</v>
      </c>
      <c r="M30" s="473">
        <f t="shared" si="10"/>
        <v>5.16078808461356</v>
      </c>
      <c r="N30" s="473">
        <f t="shared" si="10"/>
        <v>7.233876304200001</v>
      </c>
      <c r="O30" s="473">
        <f t="shared" si="10"/>
        <v>0</v>
      </c>
      <c r="P30" s="473">
        <f t="shared" si="10"/>
        <v>11.83400567</v>
      </c>
      <c r="Q30" s="473">
        <f t="shared" si="10"/>
        <v>0</v>
      </c>
      <c r="R30" s="473">
        <f t="shared" si="10"/>
        <v>4.6001293658</v>
      </c>
      <c r="S30" s="473">
        <f t="shared" si="10"/>
        <v>7.233876304200001</v>
      </c>
      <c r="T30" s="473">
        <f t="shared" si="10"/>
        <v>0</v>
      </c>
      <c r="U30" s="141"/>
      <c r="V30" s="141"/>
      <c r="W30" s="141"/>
      <c r="X30" s="141"/>
      <c r="Y30" s="141"/>
      <c r="Z30" s="141"/>
      <c r="AA30" s="473">
        <f aca="true" t="shared" si="11" ref="AA30:AF30">AA31+AA42</f>
        <v>12.353253438813558</v>
      </c>
      <c r="AB30" s="473">
        <f t="shared" si="11"/>
        <v>11.83400567</v>
      </c>
      <c r="AC30" s="473">
        <f t="shared" si="11"/>
        <v>12.353253438813558</v>
      </c>
      <c r="AD30" s="473">
        <f t="shared" si="11"/>
        <v>11.83400567</v>
      </c>
      <c r="AE30" s="473">
        <f t="shared" si="11"/>
        <v>12.353253438813558</v>
      </c>
      <c r="AF30" s="473">
        <f t="shared" si="11"/>
        <v>11.83400567</v>
      </c>
      <c r="AG30" s="228"/>
    </row>
    <row r="31" spans="1:33" s="5" customFormat="1" ht="47.25">
      <c r="A31" s="207" t="s">
        <v>285</v>
      </c>
      <c r="B31" s="161" t="s">
        <v>263</v>
      </c>
      <c r="C31" s="504" t="s">
        <v>261</v>
      </c>
      <c r="D31" s="141"/>
      <c r="E31" s="141"/>
      <c r="F31" s="141"/>
      <c r="G31" s="141"/>
      <c r="H31" s="473">
        <f>SUM(H32:H41)</f>
        <v>11.743253438813559</v>
      </c>
      <c r="I31" s="473">
        <f>SUM(I32:I41)</f>
        <v>11.029878049999999</v>
      </c>
      <c r="J31" s="141"/>
      <c r="K31" s="473">
        <f aca="true" t="shared" si="12" ref="K31:T31">SUM(K32:K41)</f>
        <v>11.743253438813559</v>
      </c>
      <c r="L31" s="473">
        <f t="shared" si="12"/>
        <v>0</v>
      </c>
      <c r="M31" s="473">
        <f t="shared" si="12"/>
        <v>5.16078808461356</v>
      </c>
      <c r="N31" s="473">
        <f t="shared" si="12"/>
        <v>6.582465354200001</v>
      </c>
      <c r="O31" s="473">
        <f t="shared" si="12"/>
        <v>0</v>
      </c>
      <c r="P31" s="473">
        <f t="shared" si="12"/>
        <v>11.029878049999999</v>
      </c>
      <c r="Q31" s="473">
        <f t="shared" si="12"/>
        <v>0</v>
      </c>
      <c r="R31" s="473">
        <f t="shared" si="12"/>
        <v>4.4474126958</v>
      </c>
      <c r="S31" s="473">
        <f t="shared" si="12"/>
        <v>6.582465354200001</v>
      </c>
      <c r="T31" s="473">
        <f t="shared" si="12"/>
        <v>0</v>
      </c>
      <c r="U31" s="141"/>
      <c r="V31" s="141"/>
      <c r="W31" s="141"/>
      <c r="X31" s="141"/>
      <c r="Y31" s="141"/>
      <c r="Z31" s="141"/>
      <c r="AA31" s="473">
        <f aca="true" t="shared" si="13" ref="AA31:AF31">SUM(AA32:AA41)</f>
        <v>11.743253438813559</v>
      </c>
      <c r="AB31" s="473">
        <f t="shared" si="13"/>
        <v>11.029878049999999</v>
      </c>
      <c r="AC31" s="473">
        <f t="shared" si="13"/>
        <v>11.743253438813559</v>
      </c>
      <c r="AD31" s="473">
        <f t="shared" si="13"/>
        <v>11.029878049999999</v>
      </c>
      <c r="AE31" s="473">
        <f t="shared" si="13"/>
        <v>11.743253438813559</v>
      </c>
      <c r="AF31" s="473">
        <f t="shared" si="13"/>
        <v>11.029878049999999</v>
      </c>
      <c r="AG31" s="228"/>
    </row>
    <row r="32" spans="1:33" s="2" customFormat="1" ht="47.25">
      <c r="A32" s="229" t="str">
        <f>1!A33</f>
        <v>1.1</v>
      </c>
      <c r="B32" s="120" t="str">
        <f>1!B33</f>
        <v>Реконструкция ВЛ-0,4 кВ ул.Шоссейная, п.Иноземцево, (и/н 0000467), СИП-2 3х50+1х54,6 - 0,418 км, СИП-2 3х35+1х54,6 - 0,366 км и СИП-4 2х16 - 0,575 км</v>
      </c>
      <c r="C32" s="502" t="str">
        <f>1!C33</f>
        <v>G_Gelezno_001</v>
      </c>
      <c r="D32" s="91" t="str">
        <f>2!D29</f>
        <v>П</v>
      </c>
      <c r="E32" s="91">
        <f>2!E29</f>
        <v>2017</v>
      </c>
      <c r="F32" s="91">
        <f>2!F29</f>
        <v>2017</v>
      </c>
      <c r="G32" s="91"/>
      <c r="H32" s="474">
        <f>2!I29/1.18</f>
        <v>0.65390371</v>
      </c>
      <c r="I32" s="474">
        <f>2!L29/1.18</f>
        <v>0.65084746</v>
      </c>
      <c r="J32" s="91"/>
      <c r="K32" s="481">
        <f>H32</f>
        <v>0.65390371</v>
      </c>
      <c r="L32" s="481"/>
      <c r="M32" s="481">
        <f>K32-N32</f>
        <v>0.1870114633</v>
      </c>
      <c r="N32" s="481">
        <f>S32</f>
        <v>0.4668922467</v>
      </c>
      <c r="O32" s="481"/>
      <c r="P32" s="481">
        <f>I32</f>
        <v>0.65084746</v>
      </c>
      <c r="Q32" s="481"/>
      <c r="R32" s="481">
        <f>P32-S32</f>
        <v>0.18395521330000003</v>
      </c>
      <c r="S32" s="481">
        <f>0.06151413*7.59</f>
        <v>0.4668922467</v>
      </c>
      <c r="T32" s="481"/>
      <c r="U32" s="121"/>
      <c r="V32" s="121"/>
      <c r="W32" s="121"/>
      <c r="X32" s="121"/>
      <c r="Y32" s="121"/>
      <c r="Z32" s="121"/>
      <c r="AA32" s="481">
        <f>H32</f>
        <v>0.65390371</v>
      </c>
      <c r="AB32" s="481">
        <f>I32</f>
        <v>0.65084746</v>
      </c>
      <c r="AC32" s="481">
        <f>H32</f>
        <v>0.65390371</v>
      </c>
      <c r="AD32" s="481">
        <f>I32</f>
        <v>0.65084746</v>
      </c>
      <c r="AE32" s="481">
        <f>H32</f>
        <v>0.65390371</v>
      </c>
      <c r="AF32" s="481">
        <f>I32</f>
        <v>0.65084746</v>
      </c>
      <c r="AG32" s="206" t="s">
        <v>247</v>
      </c>
    </row>
    <row r="33" spans="1:33" s="2" customFormat="1" ht="47.25">
      <c r="A33" s="229" t="str">
        <f>1!A34</f>
        <v>1.1</v>
      </c>
      <c r="B33" s="120" t="str">
        <f>1!B34</f>
        <v>Реконструкция ВЛ-0,4 кВ ул.Р.Люксембург, г.Железноводск, (и/н 0000305), СИП-2 3х35+1х54,6 - 0,367 км и СИП-4 2х16 - 0,45 км</v>
      </c>
      <c r="C33" s="502" t="str">
        <f>1!C34</f>
        <v>G_Gelezno_002</v>
      </c>
      <c r="D33" s="91" t="str">
        <f>2!D30</f>
        <v>П</v>
      </c>
      <c r="E33" s="91">
        <f>2!E30</f>
        <v>2017</v>
      </c>
      <c r="F33" s="91">
        <f>2!F30</f>
        <v>2017</v>
      </c>
      <c r="G33" s="91"/>
      <c r="H33" s="474">
        <f>2!I30/1.18</f>
        <v>0.412</v>
      </c>
      <c r="I33" s="474">
        <f>2!L30/1.18</f>
        <v>0.41186441</v>
      </c>
      <c r="J33" s="91"/>
      <c r="K33" s="481">
        <f aca="true" t="shared" si="14" ref="K33:K40">H33</f>
        <v>0.412</v>
      </c>
      <c r="L33" s="481"/>
      <c r="M33" s="481">
        <f aca="true" t="shared" si="15" ref="M33:M40">K33-N33</f>
        <v>0.1110313691</v>
      </c>
      <c r="N33" s="481">
        <f aca="true" t="shared" si="16" ref="N33:N40">S33</f>
        <v>0.3009686309</v>
      </c>
      <c r="O33" s="481"/>
      <c r="P33" s="481">
        <f aca="true" t="shared" si="17" ref="P33:P40">I33</f>
        <v>0.41186441</v>
      </c>
      <c r="Q33" s="481"/>
      <c r="R33" s="481">
        <f aca="true" t="shared" si="18" ref="R33:R40">P33-S33</f>
        <v>0.11089577910000004</v>
      </c>
      <c r="S33" s="481">
        <f>39445.43*7.63/1000000</f>
        <v>0.3009686309</v>
      </c>
      <c r="T33" s="481"/>
      <c r="U33" s="121"/>
      <c r="V33" s="121"/>
      <c r="W33" s="121"/>
      <c r="X33" s="121"/>
      <c r="Y33" s="121"/>
      <c r="Z33" s="121"/>
      <c r="AA33" s="481">
        <f aca="true" t="shared" si="19" ref="AA33:AA40">H33</f>
        <v>0.412</v>
      </c>
      <c r="AB33" s="481">
        <f aca="true" t="shared" si="20" ref="AB33:AB40">I33</f>
        <v>0.41186441</v>
      </c>
      <c r="AC33" s="481">
        <f aca="true" t="shared" si="21" ref="AC33:AC40">H33</f>
        <v>0.412</v>
      </c>
      <c r="AD33" s="481">
        <f aca="true" t="shared" si="22" ref="AD33:AD40">I33</f>
        <v>0.41186441</v>
      </c>
      <c r="AE33" s="481">
        <f aca="true" t="shared" si="23" ref="AE33:AE40">H33</f>
        <v>0.412</v>
      </c>
      <c r="AF33" s="481">
        <f aca="true" t="shared" si="24" ref="AF33:AF40">I33</f>
        <v>0.41186441</v>
      </c>
      <c r="AG33" s="206" t="s">
        <v>247</v>
      </c>
    </row>
    <row r="34" spans="1:33" s="2" customFormat="1" ht="47.25">
      <c r="A34" s="229" t="str">
        <f>1!A35</f>
        <v>1.1</v>
      </c>
      <c r="B34" s="120" t="str">
        <f>1!B35</f>
        <v>Реконструкция ВЛ-0,4 кВ ул.Свободы, п.Иноземцево, (и/н 0000450 и 0000451), СИП-2 3х35+1х54,6 - 2,35 км и СИП-4 2х16 - 2,97 км</v>
      </c>
      <c r="C34" s="502" t="str">
        <f>1!C35</f>
        <v>G_Gelezno_003</v>
      </c>
      <c r="D34" s="91" t="str">
        <f>2!D31</f>
        <v>П</v>
      </c>
      <c r="E34" s="91">
        <f>2!E31</f>
        <v>2017</v>
      </c>
      <c r="F34" s="91">
        <f>2!F31</f>
        <v>2017</v>
      </c>
      <c r="G34" s="91"/>
      <c r="H34" s="474">
        <f>2!I31/1.18</f>
        <v>2.2449661016949154</v>
      </c>
      <c r="I34" s="474">
        <f>2!L31/1.18</f>
        <v>2.20817534</v>
      </c>
      <c r="J34" s="91"/>
      <c r="K34" s="481">
        <f t="shared" si="14"/>
        <v>2.2449661016949154</v>
      </c>
      <c r="L34" s="481"/>
      <c r="M34" s="481">
        <f t="shared" si="15"/>
        <v>0.8857819382949152</v>
      </c>
      <c r="N34" s="481">
        <f t="shared" si="16"/>
        <v>1.3591841634000001</v>
      </c>
      <c r="O34" s="481"/>
      <c r="P34" s="481">
        <f t="shared" si="17"/>
        <v>2.20817534</v>
      </c>
      <c r="Q34" s="481"/>
      <c r="R34" s="481">
        <f t="shared" si="18"/>
        <v>0.8489911765999998</v>
      </c>
      <c r="S34" s="481">
        <f>(0.05272932+0.03557176+0.08202275)*7.98</f>
        <v>1.3591841634000001</v>
      </c>
      <c r="T34" s="481"/>
      <c r="U34" s="121"/>
      <c r="V34" s="121"/>
      <c r="W34" s="121"/>
      <c r="X34" s="121"/>
      <c r="Y34" s="121"/>
      <c r="Z34" s="121"/>
      <c r="AA34" s="481">
        <f t="shared" si="19"/>
        <v>2.2449661016949154</v>
      </c>
      <c r="AB34" s="481">
        <f t="shared" si="20"/>
        <v>2.20817534</v>
      </c>
      <c r="AC34" s="481">
        <f t="shared" si="21"/>
        <v>2.2449661016949154</v>
      </c>
      <c r="AD34" s="481">
        <f t="shared" si="22"/>
        <v>2.20817534</v>
      </c>
      <c r="AE34" s="481">
        <f t="shared" si="23"/>
        <v>2.2449661016949154</v>
      </c>
      <c r="AF34" s="481">
        <f t="shared" si="24"/>
        <v>2.20817534</v>
      </c>
      <c r="AG34" s="206" t="s">
        <v>247</v>
      </c>
    </row>
    <row r="35" spans="1:33" s="2" customFormat="1" ht="47.25">
      <c r="A35" s="229" t="str">
        <f>1!A36</f>
        <v>1.1</v>
      </c>
      <c r="B35" s="120" t="str">
        <f>1!B36</f>
        <v>Реконструкция ВЛ-0,4 кВ ул.Свободы до озера (от ул.Шоссей-ной), п.Иноземцево, (и/н 0000453), СИП-2 3х35+1х54,6 - 2,26 км и СИП-4 2х16 - 2,17 км</v>
      </c>
      <c r="C35" s="502" t="str">
        <f>1!C36</f>
        <v>G_Gelezno_004</v>
      </c>
      <c r="D35" s="91" t="str">
        <f>2!D32</f>
        <v>П</v>
      </c>
      <c r="E35" s="91">
        <f>2!E32</f>
        <v>2017</v>
      </c>
      <c r="F35" s="91">
        <f>2!F32</f>
        <v>2017</v>
      </c>
      <c r="G35" s="91"/>
      <c r="H35" s="474">
        <f>2!I32/1.18</f>
        <v>2.2506069152542376</v>
      </c>
      <c r="I35" s="474">
        <f>2!L32/1.18</f>
        <v>2.05246279</v>
      </c>
      <c r="J35" s="91"/>
      <c r="K35" s="481">
        <f t="shared" si="14"/>
        <v>2.2506069152542376</v>
      </c>
      <c r="L35" s="481"/>
      <c r="M35" s="481">
        <f t="shared" si="15"/>
        <v>1.0818019310542377</v>
      </c>
      <c r="N35" s="481">
        <f t="shared" si="16"/>
        <v>1.1688049842</v>
      </c>
      <c r="O35" s="481"/>
      <c r="P35" s="481">
        <f t="shared" si="17"/>
        <v>2.05246279</v>
      </c>
      <c r="Q35" s="481"/>
      <c r="R35" s="481">
        <f t="shared" si="18"/>
        <v>0.8836578058</v>
      </c>
      <c r="S35" s="481">
        <f>(0.04967119+0.0299666+0.03448143+0.03234757)*7.98</f>
        <v>1.1688049842</v>
      </c>
      <c r="T35" s="481"/>
      <c r="U35" s="121"/>
      <c r="V35" s="121"/>
      <c r="W35" s="121"/>
      <c r="X35" s="121"/>
      <c r="Y35" s="121"/>
      <c r="Z35" s="121"/>
      <c r="AA35" s="481">
        <f t="shared" si="19"/>
        <v>2.2506069152542376</v>
      </c>
      <c r="AB35" s="481">
        <f t="shared" si="20"/>
        <v>2.05246279</v>
      </c>
      <c r="AC35" s="481">
        <f t="shared" si="21"/>
        <v>2.2506069152542376</v>
      </c>
      <c r="AD35" s="481">
        <f t="shared" si="22"/>
        <v>2.05246279</v>
      </c>
      <c r="AE35" s="481">
        <f t="shared" si="23"/>
        <v>2.2506069152542376</v>
      </c>
      <c r="AF35" s="481">
        <f t="shared" si="24"/>
        <v>2.05246279</v>
      </c>
      <c r="AG35" s="206" t="s">
        <v>247</v>
      </c>
    </row>
    <row r="36" spans="1:33" s="2" customFormat="1" ht="47.25">
      <c r="A36" s="229" t="str">
        <f>1!A37</f>
        <v>1.1</v>
      </c>
      <c r="B36" s="120" t="str">
        <f>1!B37</f>
        <v>Реконструкция ВЛ-0,4 кВ ул.60 лет Октября, п.Иноземцево, (и/н 0000329 и 0000330), СИП-2 3х35+1х54,6 - 0,836 км и СИП-4 2х16 - 2,2 км</v>
      </c>
      <c r="C36" s="502" t="str">
        <f>1!C37</f>
        <v>G_Gelezno_005</v>
      </c>
      <c r="D36" s="91" t="str">
        <f>2!D33</f>
        <v>П</v>
      </c>
      <c r="E36" s="91">
        <f>2!E33</f>
        <v>2017</v>
      </c>
      <c r="F36" s="91">
        <f>2!F33</f>
        <v>2017</v>
      </c>
      <c r="G36" s="91"/>
      <c r="H36" s="474">
        <f>2!I33/1.18</f>
        <v>1.094</v>
      </c>
      <c r="I36" s="474">
        <f>2!L33/1.18</f>
        <v>1.04197688</v>
      </c>
      <c r="J36" s="91"/>
      <c r="K36" s="481">
        <f t="shared" si="14"/>
        <v>1.094</v>
      </c>
      <c r="L36" s="481"/>
      <c r="M36" s="481">
        <f t="shared" si="15"/>
        <v>0.4835682592</v>
      </c>
      <c r="N36" s="481">
        <f t="shared" si="16"/>
        <v>0.6104317408000001</v>
      </c>
      <c r="O36" s="481"/>
      <c r="P36" s="481">
        <f t="shared" si="17"/>
        <v>1.04197688</v>
      </c>
      <c r="Q36" s="481"/>
      <c r="R36" s="481">
        <f t="shared" si="18"/>
        <v>0.4315451391999999</v>
      </c>
      <c r="S36" s="481">
        <f>(39451.37+40552.79)*7.63/1000000</f>
        <v>0.6104317408000001</v>
      </c>
      <c r="T36" s="481"/>
      <c r="U36" s="121"/>
      <c r="V36" s="121"/>
      <c r="W36" s="121"/>
      <c r="X36" s="121"/>
      <c r="Y36" s="121"/>
      <c r="Z36" s="121"/>
      <c r="AA36" s="481">
        <f t="shared" si="19"/>
        <v>1.094</v>
      </c>
      <c r="AB36" s="481">
        <f t="shared" si="20"/>
        <v>1.04197688</v>
      </c>
      <c r="AC36" s="481">
        <f t="shared" si="21"/>
        <v>1.094</v>
      </c>
      <c r="AD36" s="481">
        <f t="shared" si="22"/>
        <v>1.04197688</v>
      </c>
      <c r="AE36" s="481">
        <f t="shared" si="23"/>
        <v>1.094</v>
      </c>
      <c r="AF36" s="481">
        <f t="shared" si="24"/>
        <v>1.04197688</v>
      </c>
      <c r="AG36" s="206" t="s">
        <v>247</v>
      </c>
    </row>
    <row r="37" spans="1:33" s="2" customFormat="1" ht="47.25">
      <c r="A37" s="229" t="str">
        <f>1!A38</f>
        <v>1.1</v>
      </c>
      <c r="B37" s="120" t="str">
        <f>1!B38</f>
        <v>Реконструкция ВЛ-0,4 кВ ул.К.Цеткин и/н 0000376  и  ул.Пушкина и/н 0000440 п.Иноземцево, СИП-2 3х35+1х54,6 - 2,02 км и СИП-4 2х16 - 1,42 км</v>
      </c>
      <c r="C37" s="502" t="str">
        <f>1!C38</f>
        <v>G_Gelezno_006</v>
      </c>
      <c r="D37" s="91" t="str">
        <f>2!D34</f>
        <v>П</v>
      </c>
      <c r="E37" s="91">
        <f>2!E34</f>
        <v>2017</v>
      </c>
      <c r="F37" s="91">
        <f>2!F34</f>
        <v>2017</v>
      </c>
      <c r="G37" s="91"/>
      <c r="H37" s="474">
        <f>2!I34/1.18</f>
        <v>2.285</v>
      </c>
      <c r="I37" s="474">
        <f>2!L34/1.18</f>
        <v>2.1386064800000004</v>
      </c>
      <c r="J37" s="91"/>
      <c r="K37" s="481">
        <f t="shared" si="14"/>
        <v>2.285</v>
      </c>
      <c r="L37" s="481"/>
      <c r="M37" s="481">
        <f t="shared" si="15"/>
        <v>0.9964102682000002</v>
      </c>
      <c r="N37" s="481">
        <f t="shared" si="16"/>
        <v>1.2885897318</v>
      </c>
      <c r="O37" s="481"/>
      <c r="P37" s="481">
        <f t="shared" si="17"/>
        <v>2.1386064800000004</v>
      </c>
      <c r="Q37" s="481"/>
      <c r="R37" s="481">
        <f t="shared" si="18"/>
        <v>0.8500167482000005</v>
      </c>
      <c r="S37" s="481">
        <f>(0.11209419+0.04938322)*7.98</f>
        <v>1.2885897318</v>
      </c>
      <c r="T37" s="481"/>
      <c r="U37" s="121"/>
      <c r="V37" s="121"/>
      <c r="W37" s="121"/>
      <c r="X37" s="121"/>
      <c r="Y37" s="121"/>
      <c r="Z37" s="121"/>
      <c r="AA37" s="481">
        <f t="shared" si="19"/>
        <v>2.285</v>
      </c>
      <c r="AB37" s="481">
        <f t="shared" si="20"/>
        <v>2.1386064800000004</v>
      </c>
      <c r="AC37" s="481">
        <f t="shared" si="21"/>
        <v>2.285</v>
      </c>
      <c r="AD37" s="481">
        <f t="shared" si="22"/>
        <v>2.1386064800000004</v>
      </c>
      <c r="AE37" s="481">
        <f t="shared" si="23"/>
        <v>2.285</v>
      </c>
      <c r="AF37" s="481">
        <f t="shared" si="24"/>
        <v>2.1386064800000004</v>
      </c>
      <c r="AG37" s="206" t="s">
        <v>247</v>
      </c>
    </row>
    <row r="38" spans="1:33" s="2" customFormat="1" ht="47.25">
      <c r="A38" s="229" t="str">
        <f>1!A39</f>
        <v>1.1</v>
      </c>
      <c r="B38" s="120" t="str">
        <f>1!B39</f>
        <v>Реконструкция ВЛ-0,4 кВ ул.Бахановича, г.Железноводск, (и/н 0000285), СИП-2 3х35+1х54,6 - 0,502км и СИП-4 2х16 - 0,784 км</v>
      </c>
      <c r="C38" s="502" t="str">
        <f>1!C39</f>
        <v>G_Gelezno_007</v>
      </c>
      <c r="D38" s="91" t="str">
        <f>2!D35</f>
        <v>П</v>
      </c>
      <c r="E38" s="91">
        <f>2!E35</f>
        <v>2017</v>
      </c>
      <c r="F38" s="91">
        <f>2!F35</f>
        <v>2017</v>
      </c>
      <c r="G38" s="91"/>
      <c r="H38" s="474">
        <f>2!I35/1.18</f>
        <v>0.623</v>
      </c>
      <c r="I38" s="474">
        <f>2!L35/1.18</f>
        <v>0.60669792</v>
      </c>
      <c r="J38" s="91"/>
      <c r="K38" s="481">
        <f t="shared" si="14"/>
        <v>0.623</v>
      </c>
      <c r="L38" s="481"/>
      <c r="M38" s="481">
        <f t="shared" si="15"/>
        <v>0.335096846</v>
      </c>
      <c r="N38" s="481">
        <f t="shared" si="16"/>
        <v>0.287903154</v>
      </c>
      <c r="O38" s="481"/>
      <c r="P38" s="481">
        <f t="shared" si="17"/>
        <v>0.60669792</v>
      </c>
      <c r="Q38" s="481"/>
      <c r="R38" s="481">
        <f t="shared" si="18"/>
        <v>0.318794766</v>
      </c>
      <c r="S38" s="481">
        <f>36863.4*7.81/1000000</f>
        <v>0.287903154</v>
      </c>
      <c r="T38" s="481"/>
      <c r="U38" s="121"/>
      <c r="V38" s="121"/>
      <c r="W38" s="121"/>
      <c r="X38" s="121"/>
      <c r="Y38" s="121"/>
      <c r="Z38" s="121"/>
      <c r="AA38" s="481">
        <f t="shared" si="19"/>
        <v>0.623</v>
      </c>
      <c r="AB38" s="481">
        <f t="shared" si="20"/>
        <v>0.60669792</v>
      </c>
      <c r="AC38" s="481">
        <f t="shared" si="21"/>
        <v>0.623</v>
      </c>
      <c r="AD38" s="481">
        <f t="shared" si="22"/>
        <v>0.60669792</v>
      </c>
      <c r="AE38" s="481">
        <f t="shared" si="23"/>
        <v>0.623</v>
      </c>
      <c r="AF38" s="481">
        <f t="shared" si="24"/>
        <v>0.60669792</v>
      </c>
      <c r="AG38" s="206" t="s">
        <v>247</v>
      </c>
    </row>
    <row r="39" spans="1:33" s="2" customFormat="1" ht="47.25">
      <c r="A39" s="229" t="str">
        <f>1!A40</f>
        <v>1.1</v>
      </c>
      <c r="B39" s="120" t="str">
        <f>1!B40</f>
        <v>Реконструкция ВЛ-0,4 кВ ул.Ивановская, г. Железноводск, (и/н 0000370 и 0000371 ), СИП-2 3х35+1х54,6 - 1,12 км и СИП-4 2х16 - 0,4 км</v>
      </c>
      <c r="C39" s="502" t="str">
        <f>1!C40</f>
        <v>G_Gelezno_008</v>
      </c>
      <c r="D39" s="91" t="str">
        <f>2!D36</f>
        <v>П</v>
      </c>
      <c r="E39" s="91">
        <f>2!E36</f>
        <v>2017</v>
      </c>
      <c r="F39" s="91">
        <f>2!F36</f>
        <v>2017</v>
      </c>
      <c r="G39" s="91"/>
      <c r="H39" s="474">
        <f>2!I36/1.18</f>
        <v>1.2687627118644065</v>
      </c>
      <c r="I39" s="474">
        <f>2!L36/1.18</f>
        <v>1.0239200499999999</v>
      </c>
      <c r="J39" s="91"/>
      <c r="K39" s="481">
        <f t="shared" si="14"/>
        <v>1.2687627118644065</v>
      </c>
      <c r="L39" s="481"/>
      <c r="M39" s="481">
        <f t="shared" si="15"/>
        <v>0.6363493078644065</v>
      </c>
      <c r="N39" s="481">
        <f t="shared" si="16"/>
        <v>0.632413404</v>
      </c>
      <c r="O39" s="481"/>
      <c r="P39" s="481">
        <f t="shared" si="17"/>
        <v>1.0239200499999999</v>
      </c>
      <c r="Q39" s="481"/>
      <c r="R39" s="481">
        <f t="shared" si="18"/>
        <v>0.39150664599999985</v>
      </c>
      <c r="S39" s="481">
        <f>(0.0221882+0.0570616)*7.98</f>
        <v>0.632413404</v>
      </c>
      <c r="T39" s="481"/>
      <c r="U39" s="121"/>
      <c r="V39" s="121"/>
      <c r="W39" s="121"/>
      <c r="X39" s="121"/>
      <c r="Y39" s="121"/>
      <c r="Z39" s="121"/>
      <c r="AA39" s="481">
        <f t="shared" si="19"/>
        <v>1.2687627118644065</v>
      </c>
      <c r="AB39" s="481">
        <f t="shared" si="20"/>
        <v>1.0239200499999999</v>
      </c>
      <c r="AC39" s="481">
        <f t="shared" si="21"/>
        <v>1.2687627118644065</v>
      </c>
      <c r="AD39" s="481">
        <f t="shared" si="22"/>
        <v>1.0239200499999999</v>
      </c>
      <c r="AE39" s="481">
        <f t="shared" si="23"/>
        <v>1.2687627118644065</v>
      </c>
      <c r="AF39" s="481">
        <f t="shared" si="24"/>
        <v>1.0239200499999999</v>
      </c>
      <c r="AG39" s="206" t="s">
        <v>247</v>
      </c>
    </row>
    <row r="40" spans="1:33" s="2" customFormat="1" ht="47.25">
      <c r="A40" s="229" t="str">
        <f>1!A41</f>
        <v>1.1</v>
      </c>
      <c r="B40" s="120" t="str">
        <f>1!B41</f>
        <v>Реконструкция ВЛ-0,4 кВ ул.Бахановича от ул.Чапаева, г.Желез-новодск, (и/н 0000283), СИП-2 3х35+1х54,6 - 0,836 км и СИП-4 2х16 - 1,306 км</v>
      </c>
      <c r="C40" s="502" t="str">
        <f>1!C41</f>
        <v>G_Gelezno_009</v>
      </c>
      <c r="D40" s="91" t="str">
        <f>2!D37</f>
        <v>П</v>
      </c>
      <c r="E40" s="91">
        <f>2!E37</f>
        <v>2017</v>
      </c>
      <c r="F40" s="91">
        <f>2!F37</f>
        <v>2017</v>
      </c>
      <c r="G40" s="91"/>
      <c r="H40" s="474">
        <f>2!I37/1.18</f>
        <v>0.9110140000000001</v>
      </c>
      <c r="I40" s="474">
        <f>2!L37/1.18</f>
        <v>0.89532672</v>
      </c>
      <c r="J40" s="91"/>
      <c r="K40" s="481">
        <f t="shared" si="14"/>
        <v>0.9110140000000001</v>
      </c>
      <c r="L40" s="481"/>
      <c r="M40" s="481">
        <f t="shared" si="15"/>
        <v>0.4437367016000001</v>
      </c>
      <c r="N40" s="481">
        <f t="shared" si="16"/>
        <v>0.4672772984</v>
      </c>
      <c r="O40" s="481"/>
      <c r="P40" s="481">
        <f t="shared" si="17"/>
        <v>0.89532672</v>
      </c>
      <c r="Q40" s="481"/>
      <c r="R40" s="481">
        <f t="shared" si="18"/>
        <v>0.42804942160000004</v>
      </c>
      <c r="S40" s="481">
        <f>59830.64*7.81/1000000</f>
        <v>0.4672772984</v>
      </c>
      <c r="T40" s="481"/>
      <c r="U40" s="121"/>
      <c r="V40" s="121"/>
      <c r="W40" s="121"/>
      <c r="X40" s="121"/>
      <c r="Y40" s="121"/>
      <c r="Z40" s="121"/>
      <c r="AA40" s="481">
        <f t="shared" si="19"/>
        <v>0.9110140000000001</v>
      </c>
      <c r="AB40" s="481">
        <f t="shared" si="20"/>
        <v>0.89532672</v>
      </c>
      <c r="AC40" s="481">
        <f t="shared" si="21"/>
        <v>0.9110140000000001</v>
      </c>
      <c r="AD40" s="481">
        <f t="shared" si="22"/>
        <v>0.89532672</v>
      </c>
      <c r="AE40" s="481">
        <f t="shared" si="23"/>
        <v>0.9110140000000001</v>
      </c>
      <c r="AF40" s="481">
        <f t="shared" si="24"/>
        <v>0.89532672</v>
      </c>
      <c r="AG40" s="206" t="s">
        <v>247</v>
      </c>
    </row>
    <row r="41" spans="1:33" s="2" customFormat="1" ht="8.25" customHeight="1">
      <c r="A41" s="229"/>
      <c r="B41" s="120"/>
      <c r="C41" s="502"/>
      <c r="D41" s="91"/>
      <c r="E41" s="91"/>
      <c r="F41" s="91"/>
      <c r="G41" s="91"/>
      <c r="H41" s="474"/>
      <c r="I41" s="474"/>
      <c r="J41" s="91"/>
      <c r="K41" s="481"/>
      <c r="L41" s="481"/>
      <c r="M41" s="481"/>
      <c r="N41" s="481"/>
      <c r="O41" s="481"/>
      <c r="P41" s="481"/>
      <c r="Q41" s="481"/>
      <c r="R41" s="481"/>
      <c r="S41" s="481"/>
      <c r="T41" s="481"/>
      <c r="U41" s="121"/>
      <c r="V41" s="121"/>
      <c r="W41" s="121"/>
      <c r="X41" s="121"/>
      <c r="Y41" s="121"/>
      <c r="Z41" s="121"/>
      <c r="AA41" s="481"/>
      <c r="AB41" s="481"/>
      <c r="AC41" s="481"/>
      <c r="AD41" s="481"/>
      <c r="AE41" s="481"/>
      <c r="AF41" s="481"/>
      <c r="AG41" s="206"/>
    </row>
    <row r="42" spans="1:33" s="5" customFormat="1" ht="31.5">
      <c r="A42" s="230" t="str">
        <f>1!A43</f>
        <v>1.2</v>
      </c>
      <c r="B42" s="138" t="str">
        <f>1!B43</f>
        <v>Реконструкция трансформаторных и иных подстанций, всего, в том числе:</v>
      </c>
      <c r="C42" s="505" t="str">
        <f>1!C43</f>
        <v>Г</v>
      </c>
      <c r="D42" s="137"/>
      <c r="E42" s="137"/>
      <c r="F42" s="137"/>
      <c r="G42" s="137"/>
      <c r="H42" s="473">
        <f>SUM(H43:H44)</f>
        <v>0.61</v>
      </c>
      <c r="I42" s="473">
        <f>SUM(I43:I44)</f>
        <v>0.80412762</v>
      </c>
      <c r="J42" s="137"/>
      <c r="K42" s="473">
        <f aca="true" t="shared" si="25" ref="K42:T42">SUM(K43:K44)</f>
        <v>0.61</v>
      </c>
      <c r="L42" s="473">
        <f t="shared" si="25"/>
        <v>0</v>
      </c>
      <c r="M42" s="473">
        <f t="shared" si="25"/>
        <v>0</v>
      </c>
      <c r="N42" s="473">
        <f t="shared" si="25"/>
        <v>0.65141095</v>
      </c>
      <c r="O42" s="473">
        <f t="shared" si="25"/>
        <v>0</v>
      </c>
      <c r="P42" s="473">
        <f t="shared" si="25"/>
        <v>0.80412762</v>
      </c>
      <c r="Q42" s="473">
        <f t="shared" si="25"/>
        <v>0</v>
      </c>
      <c r="R42" s="473">
        <f t="shared" si="25"/>
        <v>0.15271667</v>
      </c>
      <c r="S42" s="473">
        <f t="shared" si="25"/>
        <v>0.65141095</v>
      </c>
      <c r="T42" s="473">
        <f t="shared" si="25"/>
        <v>0</v>
      </c>
      <c r="U42" s="139"/>
      <c r="V42" s="141"/>
      <c r="W42" s="139"/>
      <c r="X42" s="141"/>
      <c r="Y42" s="139"/>
      <c r="Z42" s="139"/>
      <c r="AA42" s="473">
        <f aca="true" t="shared" si="26" ref="AA42:AF42">SUM(AA43:AA44)</f>
        <v>0.61</v>
      </c>
      <c r="AB42" s="473">
        <f t="shared" si="26"/>
        <v>0.80412762</v>
      </c>
      <c r="AC42" s="473">
        <f t="shared" si="26"/>
        <v>0.61</v>
      </c>
      <c r="AD42" s="473">
        <f t="shared" si="26"/>
        <v>0.80412762</v>
      </c>
      <c r="AE42" s="473">
        <f t="shared" si="26"/>
        <v>0.61</v>
      </c>
      <c r="AF42" s="473">
        <f t="shared" si="26"/>
        <v>0.80412762</v>
      </c>
      <c r="AG42" s="208"/>
    </row>
    <row r="43" spans="1:33" s="2" customFormat="1" ht="47.25">
      <c r="A43" s="229" t="str">
        <f>1!A44</f>
        <v>1.2</v>
      </c>
      <c r="B43" s="120" t="str">
        <f>1!B44</f>
        <v>Реконструкция в ТП-187  (и/н 0001379) (камера сборная серии КСО-393-13-400 - 1 шт. и камера сборная серии КСО-393-01 - 1шт.)</v>
      </c>
      <c r="C43" s="502" t="str">
        <f>1!C44</f>
        <v>G_Gelezno_010</v>
      </c>
      <c r="D43" s="91" t="str">
        <f>2!D40</f>
        <v>П</v>
      </c>
      <c r="E43" s="91">
        <f>2!E40</f>
        <v>2017</v>
      </c>
      <c r="F43" s="91">
        <f>2!F40</f>
        <v>2017</v>
      </c>
      <c r="G43" s="91"/>
      <c r="H43" s="474">
        <f>2!I40/1.18</f>
        <v>0.61</v>
      </c>
      <c r="I43" s="474">
        <f>2!L40/1.18</f>
        <v>0.80412762</v>
      </c>
      <c r="J43" s="91"/>
      <c r="K43" s="481">
        <f>H43</f>
        <v>0.61</v>
      </c>
      <c r="L43" s="481"/>
      <c r="M43" s="481"/>
      <c r="N43" s="481">
        <f>S43</f>
        <v>0.65141095</v>
      </c>
      <c r="O43" s="481"/>
      <c r="P43" s="481">
        <f>I43</f>
        <v>0.80412762</v>
      </c>
      <c r="Q43" s="481"/>
      <c r="R43" s="481">
        <f>P43-S43</f>
        <v>0.15271667</v>
      </c>
      <c r="S43" s="481">
        <f>0.65141095</f>
        <v>0.65141095</v>
      </c>
      <c r="T43" s="481"/>
      <c r="U43" s="121"/>
      <c r="V43" s="121"/>
      <c r="W43" s="121"/>
      <c r="X43" s="121"/>
      <c r="Y43" s="121"/>
      <c r="Z43" s="121"/>
      <c r="AA43" s="481">
        <f>H43</f>
        <v>0.61</v>
      </c>
      <c r="AB43" s="481">
        <f>I43</f>
        <v>0.80412762</v>
      </c>
      <c r="AC43" s="481">
        <f>H43</f>
        <v>0.61</v>
      </c>
      <c r="AD43" s="481">
        <f>I43</f>
        <v>0.80412762</v>
      </c>
      <c r="AE43" s="481">
        <f>H43</f>
        <v>0.61</v>
      </c>
      <c r="AF43" s="481">
        <f>I43</f>
        <v>0.80412762</v>
      </c>
      <c r="AG43" s="206" t="s">
        <v>247</v>
      </c>
    </row>
    <row r="44" spans="1:33" s="2" customFormat="1" ht="7.5" customHeight="1">
      <c r="A44" s="229"/>
      <c r="B44" s="120"/>
      <c r="C44" s="502"/>
      <c r="D44" s="91"/>
      <c r="E44" s="91"/>
      <c r="F44" s="91"/>
      <c r="G44" s="91"/>
      <c r="H44" s="474"/>
      <c r="I44" s="474"/>
      <c r="J44" s="91"/>
      <c r="K44" s="481"/>
      <c r="L44" s="481"/>
      <c r="M44" s="481"/>
      <c r="N44" s="481"/>
      <c r="O44" s="481"/>
      <c r="P44" s="481"/>
      <c r="Q44" s="481"/>
      <c r="R44" s="481"/>
      <c r="S44" s="481"/>
      <c r="T44" s="481"/>
      <c r="U44" s="121"/>
      <c r="V44" s="121"/>
      <c r="W44" s="121"/>
      <c r="X44" s="121"/>
      <c r="Y44" s="121"/>
      <c r="Z44" s="121"/>
      <c r="AA44" s="481"/>
      <c r="AB44" s="481"/>
      <c r="AC44" s="481"/>
      <c r="AD44" s="481"/>
      <c r="AE44" s="481"/>
      <c r="AF44" s="481"/>
      <c r="AG44" s="206"/>
    </row>
    <row r="45" spans="1:33" s="5" customFormat="1" ht="31.5">
      <c r="A45" s="230" t="str">
        <f>1!A46</f>
        <v>1.3</v>
      </c>
      <c r="B45" s="138" t="str">
        <f>1!B46</f>
        <v>Прочие инвестиционные проекты, всего, в том числе:</v>
      </c>
      <c r="C45" s="505" t="str">
        <f>1!C46</f>
        <v>Г</v>
      </c>
      <c r="D45" s="137"/>
      <c r="E45" s="137"/>
      <c r="F45" s="137"/>
      <c r="G45" s="137"/>
      <c r="H45" s="473">
        <f>SUM(H46:H47)</f>
        <v>2.5165542372881355</v>
      </c>
      <c r="I45" s="473">
        <f>SUM(I46:I47)</f>
        <v>2.4251556335593216</v>
      </c>
      <c r="J45" s="137"/>
      <c r="K45" s="473">
        <f aca="true" t="shared" si="27" ref="K45:T45">SUM(K46:K47)</f>
        <v>2.5165542372881355</v>
      </c>
      <c r="L45" s="473">
        <f t="shared" si="27"/>
        <v>0</v>
      </c>
      <c r="M45" s="473">
        <f t="shared" si="27"/>
        <v>0.4870294799999999</v>
      </c>
      <c r="N45" s="473">
        <f t="shared" si="27"/>
        <v>2.0295247572881356</v>
      </c>
      <c r="O45" s="473">
        <f t="shared" si="27"/>
        <v>0</v>
      </c>
      <c r="P45" s="473">
        <f t="shared" si="27"/>
        <v>2.4251556335593216</v>
      </c>
      <c r="Q45" s="473">
        <f t="shared" si="27"/>
        <v>0</v>
      </c>
      <c r="R45" s="473">
        <f t="shared" si="27"/>
        <v>0.4410859599999999</v>
      </c>
      <c r="S45" s="473">
        <f t="shared" si="27"/>
        <v>1.984069673559322</v>
      </c>
      <c r="T45" s="473">
        <f t="shared" si="27"/>
        <v>0</v>
      </c>
      <c r="U45" s="139"/>
      <c r="V45" s="141"/>
      <c r="W45" s="139"/>
      <c r="X45" s="141"/>
      <c r="Y45" s="139"/>
      <c r="Z45" s="139"/>
      <c r="AA45" s="473">
        <f aca="true" t="shared" si="28" ref="AA45:AF45">SUM(AA46:AA47)</f>
        <v>2.5165542372881355</v>
      </c>
      <c r="AB45" s="473">
        <f t="shared" si="28"/>
        <v>2.4251556335593216</v>
      </c>
      <c r="AC45" s="473">
        <f t="shared" si="28"/>
        <v>2.5165542372881355</v>
      </c>
      <c r="AD45" s="473">
        <f t="shared" si="28"/>
        <v>2.4251556335593216</v>
      </c>
      <c r="AE45" s="473">
        <f t="shared" si="28"/>
        <v>2.5165542372881355</v>
      </c>
      <c r="AF45" s="473">
        <f t="shared" si="28"/>
        <v>2.4251556335593216</v>
      </c>
      <c r="AG45" s="208"/>
    </row>
    <row r="46" spans="1:33" s="2" customFormat="1" ht="47.25">
      <c r="A46" s="229" t="str">
        <f>1!A47</f>
        <v>1.3</v>
      </c>
      <c r="B46" s="120" t="str">
        <f>1!B47</f>
        <v>Внутренний контур системы коммерческого учёта АСКУЭ   в   ТП-40; 15; 185; 28; 9  и  РП-3; 4; 5; 6.</v>
      </c>
      <c r="C46" s="502" t="str">
        <f>1!C47</f>
        <v>G_Gelezno_011</v>
      </c>
      <c r="D46" s="91" t="str">
        <f>2!D43</f>
        <v>П</v>
      </c>
      <c r="E46" s="91">
        <f>2!E43</f>
        <v>2017</v>
      </c>
      <c r="F46" s="91">
        <f>2!F43</f>
        <v>2017</v>
      </c>
      <c r="G46" s="91"/>
      <c r="H46" s="474">
        <f>2!I43/1.18</f>
        <v>1.1013</v>
      </c>
      <c r="I46" s="474">
        <f>2!L43/1.18</f>
        <v>1.05535648</v>
      </c>
      <c r="J46" s="91"/>
      <c r="K46" s="481">
        <f>H46</f>
        <v>1.1013</v>
      </c>
      <c r="L46" s="481"/>
      <c r="M46" s="481">
        <f>K46-N46</f>
        <v>0.4870294799999999</v>
      </c>
      <c r="N46" s="481">
        <f>S46</f>
        <v>0.61427052</v>
      </c>
      <c r="O46" s="481"/>
      <c r="P46" s="481">
        <f>I46</f>
        <v>1.05535648</v>
      </c>
      <c r="Q46" s="481"/>
      <c r="R46" s="481">
        <f>P46-S46</f>
        <v>0.4410859599999999</v>
      </c>
      <c r="S46" s="481">
        <v>0.61427052</v>
      </c>
      <c r="T46" s="481"/>
      <c r="U46" s="121"/>
      <c r="V46" s="121"/>
      <c r="W46" s="121"/>
      <c r="X46" s="121"/>
      <c r="Y46" s="121"/>
      <c r="Z46" s="121"/>
      <c r="AA46" s="481">
        <f>H46</f>
        <v>1.1013</v>
      </c>
      <c r="AB46" s="481">
        <f>I46</f>
        <v>1.05535648</v>
      </c>
      <c r="AC46" s="481">
        <f>H46</f>
        <v>1.1013</v>
      </c>
      <c r="AD46" s="481">
        <f>I46</f>
        <v>1.05535648</v>
      </c>
      <c r="AE46" s="481">
        <f>H46</f>
        <v>1.1013</v>
      </c>
      <c r="AF46" s="481">
        <f>I46</f>
        <v>1.05535648</v>
      </c>
      <c r="AG46" s="206" t="s">
        <v>247</v>
      </c>
    </row>
    <row r="47" spans="1:33" s="2" customFormat="1" ht="30">
      <c r="A47" s="229" t="str">
        <f>1!A48</f>
        <v>1.3</v>
      </c>
      <c r="B47" s="120" t="str">
        <f>1!B48</f>
        <v>Оборудование, не требующее монтажа</v>
      </c>
      <c r="C47" s="502" t="str">
        <f>1!C48</f>
        <v>G_Gelezno_012</v>
      </c>
      <c r="D47" s="91" t="str">
        <f>2!D44</f>
        <v>П</v>
      </c>
      <c r="E47" s="91">
        <f>2!E44</f>
        <v>2017</v>
      </c>
      <c r="F47" s="91">
        <f>2!F44</f>
        <v>2017</v>
      </c>
      <c r="G47" s="91"/>
      <c r="H47" s="474">
        <f>2!I44/1.18</f>
        <v>1.4152542372881356</v>
      </c>
      <c r="I47" s="474">
        <f>2!L44/1.18</f>
        <v>1.369799153559322</v>
      </c>
      <c r="J47" s="91"/>
      <c r="K47" s="481">
        <f>H47</f>
        <v>1.4152542372881356</v>
      </c>
      <c r="L47" s="481"/>
      <c r="M47" s="481"/>
      <c r="N47" s="481">
        <f>K47</f>
        <v>1.4152542372881356</v>
      </c>
      <c r="O47" s="481"/>
      <c r="P47" s="481">
        <f>I47</f>
        <v>1.369799153559322</v>
      </c>
      <c r="Q47" s="481"/>
      <c r="R47" s="481"/>
      <c r="S47" s="481">
        <f>P47</f>
        <v>1.369799153559322</v>
      </c>
      <c r="T47" s="481"/>
      <c r="U47" s="121"/>
      <c r="V47" s="121"/>
      <c r="W47" s="121"/>
      <c r="X47" s="121"/>
      <c r="Y47" s="121"/>
      <c r="Z47" s="121"/>
      <c r="AA47" s="481">
        <f>H47</f>
        <v>1.4152542372881356</v>
      </c>
      <c r="AB47" s="481">
        <f>I47</f>
        <v>1.369799153559322</v>
      </c>
      <c r="AC47" s="481">
        <f>H47</f>
        <v>1.4152542372881356</v>
      </c>
      <c r="AD47" s="481">
        <f>I47</f>
        <v>1.369799153559322</v>
      </c>
      <c r="AE47" s="481">
        <f>H47</f>
        <v>1.4152542372881356</v>
      </c>
      <c r="AF47" s="481">
        <f>I47</f>
        <v>1.369799153559322</v>
      </c>
      <c r="AG47" s="206"/>
    </row>
    <row r="48" spans="1:33" s="2" customFormat="1" ht="9.75" customHeight="1">
      <c r="A48" s="229"/>
      <c r="B48" s="120"/>
      <c r="C48" s="502"/>
      <c r="D48" s="91"/>
      <c r="E48" s="91"/>
      <c r="F48" s="91"/>
      <c r="G48" s="91"/>
      <c r="H48" s="474"/>
      <c r="I48" s="474"/>
      <c r="J48" s="91"/>
      <c r="K48" s="481"/>
      <c r="L48" s="481"/>
      <c r="M48" s="481"/>
      <c r="N48" s="481"/>
      <c r="O48" s="481"/>
      <c r="P48" s="481"/>
      <c r="Q48" s="481"/>
      <c r="R48" s="481"/>
      <c r="S48" s="481"/>
      <c r="T48" s="481"/>
      <c r="U48" s="121"/>
      <c r="V48" s="121"/>
      <c r="W48" s="121"/>
      <c r="X48" s="121"/>
      <c r="Y48" s="121"/>
      <c r="Z48" s="121"/>
      <c r="AA48" s="481"/>
      <c r="AB48" s="481"/>
      <c r="AC48" s="481"/>
      <c r="AD48" s="481"/>
      <c r="AE48" s="481"/>
      <c r="AF48" s="481"/>
      <c r="AG48" s="206"/>
    </row>
    <row r="49" spans="1:33" s="5" customFormat="1" ht="15.75">
      <c r="A49" s="230" t="str">
        <f>1!A50</f>
        <v>1.4</v>
      </c>
      <c r="B49" s="138" t="str">
        <f>1!B50</f>
        <v>Новое строительство, всего, в том числе:</v>
      </c>
      <c r="C49" s="505" t="str">
        <f>1!C50</f>
        <v>Г</v>
      </c>
      <c r="D49" s="137"/>
      <c r="E49" s="137"/>
      <c r="F49" s="137"/>
      <c r="G49" s="137"/>
      <c r="H49" s="473">
        <f>H50+H52</f>
        <v>17.350434849152542</v>
      </c>
      <c r="I49" s="473">
        <f>I50+I52</f>
        <v>17.52070265</v>
      </c>
      <c r="J49" s="137"/>
      <c r="K49" s="473">
        <f>K50+K52</f>
        <v>17.350434849152542</v>
      </c>
      <c r="L49" s="473">
        <f aca="true" t="shared" si="29" ref="L49:T49">L50+L52</f>
        <v>0.19491525423728817</v>
      </c>
      <c r="M49" s="473">
        <f t="shared" si="29"/>
        <v>3.545558230015254</v>
      </c>
      <c r="N49" s="473">
        <f t="shared" si="29"/>
        <v>13.6099613649</v>
      </c>
      <c r="O49" s="473">
        <f t="shared" si="29"/>
        <v>0</v>
      </c>
      <c r="P49" s="473">
        <f t="shared" si="29"/>
        <v>17.52070265</v>
      </c>
      <c r="Q49" s="473">
        <f>Q50+Q52</f>
        <v>0.19491525423728817</v>
      </c>
      <c r="R49" s="473">
        <f>R50+R52</f>
        <v>3.715826030862712</v>
      </c>
      <c r="S49" s="473">
        <f t="shared" si="29"/>
        <v>13.6099613649</v>
      </c>
      <c r="T49" s="473">
        <f t="shared" si="29"/>
        <v>0</v>
      </c>
      <c r="U49" s="139"/>
      <c r="V49" s="141"/>
      <c r="W49" s="139"/>
      <c r="X49" s="141"/>
      <c r="Y49" s="139"/>
      <c r="Z49" s="139"/>
      <c r="AA49" s="473">
        <f aca="true" t="shared" si="30" ref="AA49:AF49">AA50+AA52</f>
        <v>17.350434849152542</v>
      </c>
      <c r="AB49" s="473">
        <f t="shared" si="30"/>
        <v>17.52070265</v>
      </c>
      <c r="AC49" s="473">
        <f t="shared" si="30"/>
        <v>17.350434849152542</v>
      </c>
      <c r="AD49" s="473">
        <f t="shared" si="30"/>
        <v>17.52070265</v>
      </c>
      <c r="AE49" s="473">
        <f t="shared" si="30"/>
        <v>17.350434849152542</v>
      </c>
      <c r="AF49" s="473">
        <f t="shared" si="30"/>
        <v>17.52070265</v>
      </c>
      <c r="AG49" s="208"/>
    </row>
    <row r="50" spans="1:33" s="5" customFormat="1" ht="31.5">
      <c r="A50" s="229" t="str">
        <f>1!A51</f>
        <v>1.4.1</v>
      </c>
      <c r="B50" s="138" t="str">
        <f>1!B51</f>
        <v>Прочее новое строительство объектов электросетевого хозяйства</v>
      </c>
      <c r="C50" s="505" t="str">
        <f>1!C51</f>
        <v>Г</v>
      </c>
      <c r="D50" s="91"/>
      <c r="E50" s="91"/>
      <c r="F50" s="91"/>
      <c r="G50" s="91"/>
      <c r="H50" s="473">
        <f>H51</f>
        <v>6.2898049491525425</v>
      </c>
      <c r="I50" s="473">
        <f>I51</f>
        <v>6.46007275</v>
      </c>
      <c r="J50" s="91"/>
      <c r="K50" s="482">
        <f>K51</f>
        <v>6.2898049491525425</v>
      </c>
      <c r="L50" s="482">
        <f>L51</f>
        <v>0.16949152542372883</v>
      </c>
      <c r="M50" s="482">
        <f>M51</f>
        <v>0.743154472228813</v>
      </c>
      <c r="N50" s="482">
        <f>N51</f>
        <v>5.3771589515</v>
      </c>
      <c r="O50" s="482"/>
      <c r="P50" s="482">
        <f>P51</f>
        <v>6.46007275</v>
      </c>
      <c r="Q50" s="482">
        <f>Q51</f>
        <v>0.16949152542372883</v>
      </c>
      <c r="R50" s="482">
        <f>R51</f>
        <v>0.9134222730762707</v>
      </c>
      <c r="S50" s="482">
        <f>S51</f>
        <v>5.3771589515</v>
      </c>
      <c r="T50" s="482"/>
      <c r="U50" s="121"/>
      <c r="V50" s="121"/>
      <c r="W50" s="121"/>
      <c r="X50" s="121"/>
      <c r="Y50" s="121"/>
      <c r="Z50" s="121"/>
      <c r="AA50" s="482">
        <f aca="true" t="shared" si="31" ref="AA50:AF50">AA51</f>
        <v>6.2898049491525425</v>
      </c>
      <c r="AB50" s="482">
        <f t="shared" si="31"/>
        <v>6.46007275</v>
      </c>
      <c r="AC50" s="482">
        <f t="shared" si="31"/>
        <v>6.2898049491525425</v>
      </c>
      <c r="AD50" s="482">
        <f t="shared" si="31"/>
        <v>6.46007275</v>
      </c>
      <c r="AE50" s="482">
        <f t="shared" si="31"/>
        <v>6.2898049491525425</v>
      </c>
      <c r="AF50" s="482">
        <f t="shared" si="31"/>
        <v>6.46007275</v>
      </c>
      <c r="AG50" s="206"/>
    </row>
    <row r="51" spans="1:33" s="5" customFormat="1" ht="47.25">
      <c r="A51" s="229" t="str">
        <f>1!A52</f>
        <v>1.4.1.1</v>
      </c>
      <c r="B51" s="120" t="str">
        <f>1!B52</f>
        <v>Строительство КЛ-10 кВ, Ф-187(С-2) от ПС"Машук" до ТП-187, п.Иноземцево , L=2,244 км (ААБлУ 3х240)</v>
      </c>
      <c r="C51" s="502" t="str">
        <f>1!C52</f>
        <v>G_Gelezno_013</v>
      </c>
      <c r="D51" s="91" t="str">
        <f>2!D48</f>
        <v>П</v>
      </c>
      <c r="E51" s="91">
        <f>2!E48</f>
        <v>2017</v>
      </c>
      <c r="F51" s="91">
        <f>2!F48</f>
        <v>2017</v>
      </c>
      <c r="G51" s="91"/>
      <c r="H51" s="474">
        <f>2!I48/1.18</f>
        <v>6.2898049491525425</v>
      </c>
      <c r="I51" s="474">
        <f>2!L48/1.18</f>
        <v>6.46007275</v>
      </c>
      <c r="J51" s="91"/>
      <c r="K51" s="481">
        <f>H51</f>
        <v>6.2898049491525425</v>
      </c>
      <c r="L51" s="481">
        <f>Q51</f>
        <v>0.16949152542372883</v>
      </c>
      <c r="M51" s="481">
        <f>K51-L51-N51</f>
        <v>0.743154472228813</v>
      </c>
      <c r="N51" s="481">
        <f>S51</f>
        <v>5.3771589515</v>
      </c>
      <c r="O51" s="486"/>
      <c r="P51" s="481">
        <f>I51</f>
        <v>6.46007275</v>
      </c>
      <c r="Q51" s="481">
        <f>0.2/1.18</f>
        <v>0.16949152542372883</v>
      </c>
      <c r="R51" s="481">
        <f>P51-Q51-S51</f>
        <v>0.9134222730762707</v>
      </c>
      <c r="S51" s="481">
        <f>(0.13353733+0.1568044+0.1568044+0.25759292)*7.63</f>
        <v>5.3771589515</v>
      </c>
      <c r="T51" s="481"/>
      <c r="U51" s="121"/>
      <c r="V51" s="121"/>
      <c r="W51" s="121"/>
      <c r="X51" s="121"/>
      <c r="Y51" s="121"/>
      <c r="Z51" s="121"/>
      <c r="AA51" s="481">
        <f>H51</f>
        <v>6.2898049491525425</v>
      </c>
      <c r="AB51" s="481">
        <f>I51</f>
        <v>6.46007275</v>
      </c>
      <c r="AC51" s="481">
        <f>H51</f>
        <v>6.2898049491525425</v>
      </c>
      <c r="AD51" s="481">
        <f>I51</f>
        <v>6.46007275</v>
      </c>
      <c r="AE51" s="481">
        <f>H51</f>
        <v>6.2898049491525425</v>
      </c>
      <c r="AF51" s="481">
        <f>I51</f>
        <v>6.46007275</v>
      </c>
      <c r="AG51" s="206" t="s">
        <v>247</v>
      </c>
    </row>
    <row r="52" spans="1:33" s="5" customFormat="1" ht="31.5">
      <c r="A52" s="229" t="str">
        <f>1!A53</f>
        <v>1.4.2</v>
      </c>
      <c r="B52" s="138" t="str">
        <f>1!B53</f>
        <v>Прочее новое строительство, в счёт тех.присоединений</v>
      </c>
      <c r="C52" s="502"/>
      <c r="D52" s="91"/>
      <c r="E52" s="91"/>
      <c r="F52" s="91"/>
      <c r="G52" s="91"/>
      <c r="H52" s="473">
        <f>SUM(H53:H89)</f>
        <v>11.0606299</v>
      </c>
      <c r="I52" s="473">
        <f>SUM(I53:I89)</f>
        <v>11.0606299</v>
      </c>
      <c r="J52" s="91"/>
      <c r="K52" s="473">
        <f>SUM(K53:K89)</f>
        <v>11.0606299</v>
      </c>
      <c r="L52" s="473">
        <f>SUM(L53:L89)</f>
        <v>0.025423728813559324</v>
      </c>
      <c r="M52" s="473">
        <f>SUM(M53:M89)</f>
        <v>2.802403757786441</v>
      </c>
      <c r="N52" s="473">
        <f>SUM(N53:N89)</f>
        <v>8.2328024134</v>
      </c>
      <c r="O52" s="482"/>
      <c r="P52" s="473">
        <f>SUM(P53:P89)</f>
        <v>11.0606299</v>
      </c>
      <c r="Q52" s="473">
        <f>SUM(Q53:Q89)</f>
        <v>0.025423728813559324</v>
      </c>
      <c r="R52" s="473">
        <f>SUM(R53:R89)</f>
        <v>2.802403757786441</v>
      </c>
      <c r="S52" s="473">
        <f>SUM(S53:S89)</f>
        <v>8.2328024134</v>
      </c>
      <c r="T52" s="485">
        <f>SUM(T53:T89)</f>
        <v>0</v>
      </c>
      <c r="U52" s="121"/>
      <c r="V52" s="121"/>
      <c r="W52" s="121"/>
      <c r="X52" s="121"/>
      <c r="Y52" s="121"/>
      <c r="Z52" s="121"/>
      <c r="AA52" s="473">
        <f aca="true" t="shared" si="32" ref="AA52:AF52">SUM(AA53:AA89)</f>
        <v>11.0606299</v>
      </c>
      <c r="AB52" s="473">
        <f t="shared" si="32"/>
        <v>11.0606299</v>
      </c>
      <c r="AC52" s="473">
        <f t="shared" si="32"/>
        <v>11.0606299</v>
      </c>
      <c r="AD52" s="473">
        <f t="shared" si="32"/>
        <v>11.0606299</v>
      </c>
      <c r="AE52" s="473">
        <f t="shared" si="32"/>
        <v>11.0606299</v>
      </c>
      <c r="AF52" s="473">
        <f t="shared" si="32"/>
        <v>11.0606299</v>
      </c>
      <c r="AG52" s="206"/>
    </row>
    <row r="53" spans="1:33" s="5" customFormat="1" ht="47.25">
      <c r="A53" s="229" t="str">
        <f>1!A54</f>
        <v>1.4.2.1</v>
      </c>
      <c r="B53" s="120" t="str">
        <f>1!B54</f>
        <v>Строительство ВЛ-0,4 кВ от РУ-0,4 кВ ТП-185 до ВРУ офисного здания ул.Пушкина,2А, п.Иноземцево, L=0,235 км (СИП-2 3х50+1х54)</v>
      </c>
      <c r="C53" s="502" t="str">
        <f>1!C54</f>
        <v>G_Gelezno_ТР1</v>
      </c>
      <c r="D53" s="91" t="str">
        <f>2!D50</f>
        <v>П</v>
      </c>
      <c r="E53" s="91">
        <f>2!E50</f>
        <v>2017</v>
      </c>
      <c r="F53" s="91">
        <f>2!F50</f>
        <v>2017</v>
      </c>
      <c r="G53" s="91"/>
      <c r="H53" s="474">
        <f aca="true" t="shared" si="33" ref="H53:H89">I53</f>
        <v>0.16058668</v>
      </c>
      <c r="I53" s="474">
        <f>2!L50/1.18</f>
        <v>0.16058668</v>
      </c>
      <c r="J53" s="91"/>
      <c r="K53" s="481">
        <f>L53+M53+N53+O53</f>
        <v>0.16058668</v>
      </c>
      <c r="L53" s="481"/>
      <c r="M53" s="481">
        <f>R53</f>
        <v>0.0720214395</v>
      </c>
      <c r="N53" s="481">
        <f>S53</f>
        <v>0.0885652405</v>
      </c>
      <c r="O53" s="481"/>
      <c r="P53" s="481">
        <f>I53</f>
        <v>0.16058668</v>
      </c>
      <c r="Q53" s="481"/>
      <c r="R53" s="481">
        <f aca="true" t="shared" si="34" ref="R53:R89">P53-S53</f>
        <v>0.0720214395</v>
      </c>
      <c r="S53" s="481">
        <f>0.01551055*5.71</f>
        <v>0.0885652405</v>
      </c>
      <c r="T53" s="481"/>
      <c r="U53" s="121"/>
      <c r="V53" s="121"/>
      <c r="W53" s="121"/>
      <c r="X53" s="121"/>
      <c r="Y53" s="121"/>
      <c r="Z53" s="121"/>
      <c r="AA53" s="481">
        <f>H53</f>
        <v>0.16058668</v>
      </c>
      <c r="AB53" s="481">
        <f>I53</f>
        <v>0.16058668</v>
      </c>
      <c r="AC53" s="481">
        <f>H53</f>
        <v>0.16058668</v>
      </c>
      <c r="AD53" s="481">
        <f>I53</f>
        <v>0.16058668</v>
      </c>
      <c r="AE53" s="481">
        <f>H53</f>
        <v>0.16058668</v>
      </c>
      <c r="AF53" s="481">
        <f>I53</f>
        <v>0.16058668</v>
      </c>
      <c r="AG53" s="206" t="s">
        <v>247</v>
      </c>
    </row>
    <row r="54" spans="1:33" s="5" customFormat="1" ht="47.25">
      <c r="A54" s="229" t="str">
        <f>1!A55</f>
        <v>1.4.2.2</v>
      </c>
      <c r="B54" s="120" t="str">
        <f>1!B55</f>
        <v>Строительство КЛ-0,4 кВ от РУ-0,4 кВ ТП-18 (С1) до ВРУ МКЖД ул.Косякина (район дома № 49), г.Железноводск, (Линия 1), L=0,143 км (ААБл 4х120)</v>
      </c>
      <c r="C54" s="502" t="str">
        <f>1!C55</f>
        <v>G_Gelezno_ТР2</v>
      </c>
      <c r="D54" s="91" t="str">
        <f>2!D51</f>
        <v>П</v>
      </c>
      <c r="E54" s="91">
        <f>2!E51</f>
        <v>2017</v>
      </c>
      <c r="F54" s="91">
        <f>2!F51</f>
        <v>2017</v>
      </c>
      <c r="G54" s="91"/>
      <c r="H54" s="474">
        <f t="shared" si="33"/>
        <v>0.16769563</v>
      </c>
      <c r="I54" s="474">
        <f>2!L51/1.18</f>
        <v>0.16769563</v>
      </c>
      <c r="J54" s="91"/>
      <c r="K54" s="481">
        <f>L54+M54+N54+O54</f>
        <v>0.16769563</v>
      </c>
      <c r="L54" s="481"/>
      <c r="M54" s="481">
        <f>R54</f>
        <v>0.05888070000000001</v>
      </c>
      <c r="N54" s="481">
        <f>S54</f>
        <v>0.10881493</v>
      </c>
      <c r="O54" s="481"/>
      <c r="P54" s="481">
        <f aca="true" t="shared" si="35" ref="P54:P89">I54</f>
        <v>0.16769563</v>
      </c>
      <c r="Q54" s="481"/>
      <c r="R54" s="481">
        <f t="shared" si="34"/>
        <v>0.05888070000000001</v>
      </c>
      <c r="S54" s="481">
        <f>0.10881493</f>
        <v>0.10881493</v>
      </c>
      <c r="T54" s="481"/>
      <c r="U54" s="121"/>
      <c r="V54" s="121"/>
      <c r="W54" s="121"/>
      <c r="X54" s="121"/>
      <c r="Y54" s="121"/>
      <c r="Z54" s="121"/>
      <c r="AA54" s="481">
        <f>H54</f>
        <v>0.16769563</v>
      </c>
      <c r="AB54" s="481">
        <f>I54</f>
        <v>0.16769563</v>
      </c>
      <c r="AC54" s="481">
        <f>H54</f>
        <v>0.16769563</v>
      </c>
      <c r="AD54" s="481">
        <f>I54</f>
        <v>0.16769563</v>
      </c>
      <c r="AE54" s="481">
        <f>H54</f>
        <v>0.16769563</v>
      </c>
      <c r="AF54" s="481">
        <f>I54</f>
        <v>0.16769563</v>
      </c>
      <c r="AG54" s="206" t="s">
        <v>247</v>
      </c>
    </row>
    <row r="55" spans="1:33" s="5" customFormat="1" ht="47.25">
      <c r="A55" s="229" t="str">
        <f>1!A56</f>
        <v>1.4.2.3</v>
      </c>
      <c r="B55" s="120" t="str">
        <f>1!B56</f>
        <v>Строительство КЛ-0,4 кВ от РУ-0,4 кВ ТП-18 (С2) до ВРУ МКЖД ул.Косякина (район дома № 49), г.Железноводск, (Линия 2), L=0,143 км (ААБл 4х120)</v>
      </c>
      <c r="C55" s="502" t="str">
        <f>1!C56</f>
        <v>G_Gelezno_ТР3</v>
      </c>
      <c r="D55" s="91" t="str">
        <f>2!D52</f>
        <v>П</v>
      </c>
      <c r="E55" s="91">
        <f>2!E52</f>
        <v>2017</v>
      </c>
      <c r="F55" s="91">
        <f>2!F52</f>
        <v>2017</v>
      </c>
      <c r="G55" s="91"/>
      <c r="H55" s="474">
        <f t="shared" si="33"/>
        <v>0.14940692</v>
      </c>
      <c r="I55" s="474">
        <f>2!L52/1.18</f>
        <v>0.14940692</v>
      </c>
      <c r="J55" s="91"/>
      <c r="K55" s="481">
        <f aca="true" t="shared" si="36" ref="K55:K61">L55+M55+N55+O55</f>
        <v>0.14940692</v>
      </c>
      <c r="L55" s="481"/>
      <c r="M55" s="481">
        <f aca="true" t="shared" si="37" ref="M55:M61">R55</f>
        <v>0.040591989999999994</v>
      </c>
      <c r="N55" s="481">
        <f aca="true" t="shared" si="38" ref="N55:N61">S55</f>
        <v>0.10881493</v>
      </c>
      <c r="O55" s="481"/>
      <c r="P55" s="481">
        <f t="shared" si="35"/>
        <v>0.14940692</v>
      </c>
      <c r="Q55" s="481"/>
      <c r="R55" s="481">
        <f t="shared" si="34"/>
        <v>0.040591989999999994</v>
      </c>
      <c r="S55" s="481">
        <f>0.10881493</f>
        <v>0.10881493</v>
      </c>
      <c r="T55" s="481"/>
      <c r="U55" s="121"/>
      <c r="V55" s="121"/>
      <c r="W55" s="121"/>
      <c r="X55" s="121"/>
      <c r="Y55" s="121"/>
      <c r="Z55" s="121"/>
      <c r="AA55" s="481">
        <f aca="true" t="shared" si="39" ref="AA55:AA61">H55</f>
        <v>0.14940692</v>
      </c>
      <c r="AB55" s="481">
        <f aca="true" t="shared" si="40" ref="AB55:AB61">I55</f>
        <v>0.14940692</v>
      </c>
      <c r="AC55" s="481">
        <f aca="true" t="shared" si="41" ref="AC55:AC61">H55</f>
        <v>0.14940692</v>
      </c>
      <c r="AD55" s="481">
        <f aca="true" t="shared" si="42" ref="AD55:AD61">I55</f>
        <v>0.14940692</v>
      </c>
      <c r="AE55" s="481">
        <f aca="true" t="shared" si="43" ref="AE55:AE61">H55</f>
        <v>0.14940692</v>
      </c>
      <c r="AF55" s="481">
        <f aca="true" t="shared" si="44" ref="AF55:AF61">I55</f>
        <v>0.14940692</v>
      </c>
      <c r="AG55" s="206" t="s">
        <v>247</v>
      </c>
    </row>
    <row r="56" spans="1:33" s="5" customFormat="1" ht="47.25">
      <c r="A56" s="229" t="str">
        <f>1!A57</f>
        <v>1.4.2.4</v>
      </c>
      <c r="B56" s="120" t="str">
        <f>1!B57</f>
        <v>Строительство КТП-247 в районе озера "Карас", п.Иноземцево (250 кВА)</v>
      </c>
      <c r="C56" s="502" t="str">
        <f>1!C57</f>
        <v>G_Gelezno_ТР4</v>
      </c>
      <c r="D56" s="91" t="str">
        <f>2!D53</f>
        <v>П</v>
      </c>
      <c r="E56" s="91">
        <f>2!E53</f>
        <v>2017</v>
      </c>
      <c r="F56" s="91">
        <f>2!F53</f>
        <v>2017</v>
      </c>
      <c r="G56" s="91"/>
      <c r="H56" s="474">
        <f t="shared" si="33"/>
        <v>0.82485979</v>
      </c>
      <c r="I56" s="474">
        <f>2!L53/1.18</f>
        <v>0.82485979</v>
      </c>
      <c r="J56" s="91"/>
      <c r="K56" s="481">
        <f t="shared" si="36"/>
        <v>0.82485979</v>
      </c>
      <c r="L56" s="481"/>
      <c r="M56" s="481">
        <f t="shared" si="37"/>
        <v>0.15908581</v>
      </c>
      <c r="N56" s="481">
        <f t="shared" si="38"/>
        <v>0.66577398</v>
      </c>
      <c r="O56" s="481"/>
      <c r="P56" s="481">
        <f t="shared" si="35"/>
        <v>0.82485979</v>
      </c>
      <c r="Q56" s="481"/>
      <c r="R56" s="481">
        <f t="shared" si="34"/>
        <v>0.15908581</v>
      </c>
      <c r="S56" s="481">
        <f>0.66577398</f>
        <v>0.66577398</v>
      </c>
      <c r="T56" s="481"/>
      <c r="U56" s="121"/>
      <c r="V56" s="121"/>
      <c r="W56" s="121"/>
      <c r="X56" s="121"/>
      <c r="Y56" s="121"/>
      <c r="Z56" s="121"/>
      <c r="AA56" s="481">
        <f t="shared" si="39"/>
        <v>0.82485979</v>
      </c>
      <c r="AB56" s="481">
        <f t="shared" si="40"/>
        <v>0.82485979</v>
      </c>
      <c r="AC56" s="481">
        <f t="shared" si="41"/>
        <v>0.82485979</v>
      </c>
      <c r="AD56" s="481">
        <f t="shared" si="42"/>
        <v>0.82485979</v>
      </c>
      <c r="AE56" s="481">
        <f t="shared" si="43"/>
        <v>0.82485979</v>
      </c>
      <c r="AF56" s="481">
        <f t="shared" si="44"/>
        <v>0.82485979</v>
      </c>
      <c r="AG56" s="206" t="s">
        <v>247</v>
      </c>
    </row>
    <row r="57" spans="1:33" s="5" customFormat="1" ht="63">
      <c r="A57" s="229" t="str">
        <f>1!A58</f>
        <v>1.4.2.5</v>
      </c>
      <c r="B57" s="120"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57" s="502" t="str">
        <f>1!C58</f>
        <v>G_Gelezno_ТР5</v>
      </c>
      <c r="D57" s="91" t="str">
        <f>2!D54</f>
        <v>П</v>
      </c>
      <c r="E57" s="91">
        <f>2!E54</f>
        <v>2017</v>
      </c>
      <c r="F57" s="91">
        <f>2!F54</f>
        <v>2017</v>
      </c>
      <c r="G57" s="91"/>
      <c r="H57" s="474">
        <f t="shared" si="33"/>
        <v>0.08466576</v>
      </c>
      <c r="I57" s="474">
        <f>2!L54/1.18</f>
        <v>0.08466576</v>
      </c>
      <c r="J57" s="91"/>
      <c r="K57" s="481">
        <f t="shared" si="36"/>
        <v>0.08466576</v>
      </c>
      <c r="L57" s="481"/>
      <c r="M57" s="481">
        <f t="shared" si="37"/>
        <v>0.012773534700000005</v>
      </c>
      <c r="N57" s="481">
        <f t="shared" si="38"/>
        <v>0.0718922253</v>
      </c>
      <c r="O57" s="481"/>
      <c r="P57" s="481">
        <f t="shared" si="35"/>
        <v>0.08466576</v>
      </c>
      <c r="Q57" s="481"/>
      <c r="R57" s="481">
        <f t="shared" si="34"/>
        <v>0.012773534700000005</v>
      </c>
      <c r="S57" s="481">
        <f>0.00942231*7.63</f>
        <v>0.0718922253</v>
      </c>
      <c r="T57" s="481"/>
      <c r="U57" s="121"/>
      <c r="V57" s="121"/>
      <c r="W57" s="121"/>
      <c r="X57" s="121"/>
      <c r="Y57" s="121"/>
      <c r="Z57" s="121"/>
      <c r="AA57" s="481">
        <f t="shared" si="39"/>
        <v>0.08466576</v>
      </c>
      <c r="AB57" s="481">
        <f t="shared" si="40"/>
        <v>0.08466576</v>
      </c>
      <c r="AC57" s="481">
        <f t="shared" si="41"/>
        <v>0.08466576</v>
      </c>
      <c r="AD57" s="481">
        <f t="shared" si="42"/>
        <v>0.08466576</v>
      </c>
      <c r="AE57" s="481">
        <f t="shared" si="43"/>
        <v>0.08466576</v>
      </c>
      <c r="AF57" s="481">
        <f t="shared" si="44"/>
        <v>0.08466576</v>
      </c>
      <c r="AG57" s="206" t="s">
        <v>247</v>
      </c>
    </row>
    <row r="58" spans="1:33" s="5" customFormat="1" ht="47.25">
      <c r="A58" s="229" t="str">
        <f>1!A59</f>
        <v>1.4.2.6</v>
      </c>
      <c r="B58" s="120" t="str">
        <f>1!B59</f>
        <v>Строительство КЛ-10 кВ от РУ-10 кВ КТП-224 до КТП-247, п.Иноземцево, L=0,918 км (АСБ 3х120)</v>
      </c>
      <c r="C58" s="502" t="str">
        <f>1!C59</f>
        <v>G_Gelezno_ТР6</v>
      </c>
      <c r="D58" s="91" t="str">
        <f>2!D55</f>
        <v>П</v>
      </c>
      <c r="E58" s="91">
        <f>2!E55</f>
        <v>2017</v>
      </c>
      <c r="F58" s="91">
        <f>2!F55</f>
        <v>2017</v>
      </c>
      <c r="G58" s="91"/>
      <c r="H58" s="474">
        <f t="shared" si="33"/>
        <v>2.03071381</v>
      </c>
      <c r="I58" s="474">
        <f>2!L55/1.18</f>
        <v>2.03071381</v>
      </c>
      <c r="J58" s="91"/>
      <c r="K58" s="481">
        <f t="shared" si="36"/>
        <v>2.03071381</v>
      </c>
      <c r="L58" s="481">
        <f>Q58</f>
        <v>0.025423728813559324</v>
      </c>
      <c r="M58" s="481">
        <f t="shared" si="37"/>
        <v>0.24609191558644095</v>
      </c>
      <c r="N58" s="481">
        <f t="shared" si="38"/>
        <v>1.7591981655999998</v>
      </c>
      <c r="O58" s="481"/>
      <c r="P58" s="481">
        <f t="shared" si="35"/>
        <v>2.03071381</v>
      </c>
      <c r="Q58" s="481">
        <f>0.03/1.18</f>
        <v>0.025423728813559324</v>
      </c>
      <c r="R58" s="481">
        <f>P58-Q58-S58</f>
        <v>0.24609191558644095</v>
      </c>
      <c r="S58" s="481">
        <f>0.23026154*7.64</f>
        <v>1.7591981655999998</v>
      </c>
      <c r="T58" s="481"/>
      <c r="U58" s="121"/>
      <c r="V58" s="121"/>
      <c r="W58" s="121"/>
      <c r="X58" s="121"/>
      <c r="Y58" s="121"/>
      <c r="Z58" s="121"/>
      <c r="AA58" s="481">
        <f t="shared" si="39"/>
        <v>2.03071381</v>
      </c>
      <c r="AB58" s="481">
        <f t="shared" si="40"/>
        <v>2.03071381</v>
      </c>
      <c r="AC58" s="481">
        <f t="shared" si="41"/>
        <v>2.03071381</v>
      </c>
      <c r="AD58" s="481">
        <f t="shared" si="42"/>
        <v>2.03071381</v>
      </c>
      <c r="AE58" s="481">
        <f t="shared" si="43"/>
        <v>2.03071381</v>
      </c>
      <c r="AF58" s="481">
        <f t="shared" si="44"/>
        <v>2.03071381</v>
      </c>
      <c r="AG58" s="206" t="s">
        <v>247</v>
      </c>
    </row>
    <row r="59" spans="1:33" s="5" customFormat="1" ht="47.25">
      <c r="A59" s="229" t="str">
        <f>1!A60</f>
        <v>1.4.2.7</v>
      </c>
      <c r="B59" s="120" t="str">
        <f>1!B60</f>
        <v>Строительство КЛ-0,4 кВ от РУ-0,4 кВ ТП-50 (С-1) до ВРУ МКЖД по ул.Ленина,49(линия 1), г.Железноводск, L=0,061 км (АВБбШв 4х240)</v>
      </c>
      <c r="C59" s="502" t="str">
        <f>1!C60</f>
        <v>G_Gelezno_ТР7</v>
      </c>
      <c r="D59" s="91" t="str">
        <f>2!D56</f>
        <v>П</v>
      </c>
      <c r="E59" s="91">
        <f>2!E56</f>
        <v>2017</v>
      </c>
      <c r="F59" s="91">
        <f>2!F56</f>
        <v>2017</v>
      </c>
      <c r="G59" s="91"/>
      <c r="H59" s="474">
        <f t="shared" si="33"/>
        <v>0.14089326</v>
      </c>
      <c r="I59" s="474">
        <f>2!L56/1.18</f>
        <v>0.14089326</v>
      </c>
      <c r="J59" s="91"/>
      <c r="K59" s="481">
        <f t="shared" si="36"/>
        <v>0.14089326</v>
      </c>
      <c r="L59" s="481"/>
      <c r="M59" s="481">
        <f t="shared" si="37"/>
        <v>0.07373458999999999</v>
      </c>
      <c r="N59" s="481">
        <f t="shared" si="38"/>
        <v>0.06715867</v>
      </c>
      <c r="O59" s="481"/>
      <c r="P59" s="481">
        <f t="shared" si="35"/>
        <v>0.14089326</v>
      </c>
      <c r="Q59" s="481"/>
      <c r="R59" s="481">
        <f t="shared" si="34"/>
        <v>0.07373458999999999</v>
      </c>
      <c r="S59" s="481">
        <f>0.06715867</f>
        <v>0.06715867</v>
      </c>
      <c r="T59" s="481"/>
      <c r="U59" s="121"/>
      <c r="V59" s="121"/>
      <c r="W59" s="121"/>
      <c r="X59" s="121"/>
      <c r="Y59" s="121"/>
      <c r="Z59" s="121"/>
      <c r="AA59" s="481">
        <f t="shared" si="39"/>
        <v>0.14089326</v>
      </c>
      <c r="AB59" s="481">
        <f t="shared" si="40"/>
        <v>0.14089326</v>
      </c>
      <c r="AC59" s="481">
        <f t="shared" si="41"/>
        <v>0.14089326</v>
      </c>
      <c r="AD59" s="481">
        <f t="shared" si="42"/>
        <v>0.14089326</v>
      </c>
      <c r="AE59" s="481">
        <f t="shared" si="43"/>
        <v>0.14089326</v>
      </c>
      <c r="AF59" s="481">
        <f t="shared" si="44"/>
        <v>0.14089326</v>
      </c>
      <c r="AG59" s="206" t="s">
        <v>247</v>
      </c>
    </row>
    <row r="60" spans="1:33" s="5" customFormat="1" ht="47.25">
      <c r="A60" s="229" t="str">
        <f>1!A61</f>
        <v>1.4.2.8</v>
      </c>
      <c r="B60" s="120" t="str">
        <f>1!B61</f>
        <v>Строительство КЛ-0,4 кВ от РУ-0,4 кВ ТП-50(С-2) до ВРУ МКЖД по ул.Ленина,49(линия 2), г.Железноводск, L=0,061 км (АВБбШв 4х240)</v>
      </c>
      <c r="C60" s="502" t="str">
        <f>1!C61</f>
        <v>G_Gelezno_ТР8</v>
      </c>
      <c r="D60" s="91" t="str">
        <f>2!D57</f>
        <v>П</v>
      </c>
      <c r="E60" s="91">
        <f>2!E57</f>
        <v>2017</v>
      </c>
      <c r="F60" s="91">
        <f>2!F57</f>
        <v>2017</v>
      </c>
      <c r="G60" s="91"/>
      <c r="H60" s="474">
        <f t="shared" si="33"/>
        <v>0.11102854</v>
      </c>
      <c r="I60" s="474">
        <f>2!L57/1.18</f>
        <v>0.11102854</v>
      </c>
      <c r="J60" s="91"/>
      <c r="K60" s="481">
        <f t="shared" si="36"/>
        <v>0.11102854</v>
      </c>
      <c r="L60" s="481"/>
      <c r="M60" s="481">
        <f t="shared" si="37"/>
        <v>0.04671708999999999</v>
      </c>
      <c r="N60" s="481">
        <f t="shared" si="38"/>
        <v>0.06431145</v>
      </c>
      <c r="O60" s="481"/>
      <c r="P60" s="481">
        <f t="shared" si="35"/>
        <v>0.11102854</v>
      </c>
      <c r="Q60" s="481"/>
      <c r="R60" s="481">
        <f t="shared" si="34"/>
        <v>0.04671708999999999</v>
      </c>
      <c r="S60" s="481">
        <f>0.06431145</f>
        <v>0.06431145</v>
      </c>
      <c r="T60" s="481"/>
      <c r="U60" s="121"/>
      <c r="V60" s="121"/>
      <c r="W60" s="121"/>
      <c r="X60" s="121"/>
      <c r="Y60" s="121"/>
      <c r="Z60" s="121"/>
      <c r="AA60" s="481">
        <f t="shared" si="39"/>
        <v>0.11102854</v>
      </c>
      <c r="AB60" s="481">
        <f t="shared" si="40"/>
        <v>0.11102854</v>
      </c>
      <c r="AC60" s="481">
        <f t="shared" si="41"/>
        <v>0.11102854</v>
      </c>
      <c r="AD60" s="481">
        <f t="shared" si="42"/>
        <v>0.11102854</v>
      </c>
      <c r="AE60" s="481">
        <f t="shared" si="43"/>
        <v>0.11102854</v>
      </c>
      <c r="AF60" s="481">
        <f t="shared" si="44"/>
        <v>0.11102854</v>
      </c>
      <c r="AG60" s="206" t="s">
        <v>247</v>
      </c>
    </row>
    <row r="61" spans="1:33" s="5" customFormat="1" ht="47.25">
      <c r="A61" s="229" t="str">
        <f>1!A62</f>
        <v>1.4.2.9</v>
      </c>
      <c r="B61" s="120" t="str">
        <f>1!B62</f>
        <v>Строительство КТП-105 ул.Октябрьская, 96 Б, п.Иноземцево (250 кВА)</v>
      </c>
      <c r="C61" s="502" t="str">
        <f>1!C62</f>
        <v>G_Gelezno_ТР9</v>
      </c>
      <c r="D61" s="91" t="str">
        <f>2!D58</f>
        <v>П</v>
      </c>
      <c r="E61" s="91">
        <f>2!E58</f>
        <v>2017</v>
      </c>
      <c r="F61" s="91">
        <f>2!F58</f>
        <v>2017</v>
      </c>
      <c r="G61" s="91"/>
      <c r="H61" s="474">
        <f t="shared" si="33"/>
        <v>1.04124993</v>
      </c>
      <c r="I61" s="474">
        <f>2!L58/1.18</f>
        <v>1.04124993</v>
      </c>
      <c r="J61" s="91"/>
      <c r="K61" s="481">
        <f t="shared" si="36"/>
        <v>1.04124993</v>
      </c>
      <c r="L61" s="481"/>
      <c r="M61" s="481">
        <f t="shared" si="37"/>
        <v>0.25758404999999995</v>
      </c>
      <c r="N61" s="481">
        <f t="shared" si="38"/>
        <v>0.78366588</v>
      </c>
      <c r="O61" s="481"/>
      <c r="P61" s="481">
        <f t="shared" si="35"/>
        <v>1.04124993</v>
      </c>
      <c r="Q61" s="481"/>
      <c r="R61" s="481">
        <f t="shared" si="34"/>
        <v>0.25758404999999995</v>
      </c>
      <c r="S61" s="481">
        <f>0.78366588</f>
        <v>0.78366588</v>
      </c>
      <c r="T61" s="481"/>
      <c r="U61" s="121"/>
      <c r="V61" s="121"/>
      <c r="W61" s="121"/>
      <c r="X61" s="121"/>
      <c r="Y61" s="121"/>
      <c r="Z61" s="121"/>
      <c r="AA61" s="481">
        <f t="shared" si="39"/>
        <v>1.04124993</v>
      </c>
      <c r="AB61" s="481">
        <f t="shared" si="40"/>
        <v>1.04124993</v>
      </c>
      <c r="AC61" s="481">
        <f t="shared" si="41"/>
        <v>1.04124993</v>
      </c>
      <c r="AD61" s="481">
        <f t="shared" si="42"/>
        <v>1.04124993</v>
      </c>
      <c r="AE61" s="481">
        <f t="shared" si="43"/>
        <v>1.04124993</v>
      </c>
      <c r="AF61" s="481">
        <f t="shared" si="44"/>
        <v>1.04124993</v>
      </c>
      <c r="AG61" s="206" t="s">
        <v>247</v>
      </c>
    </row>
    <row r="62" spans="1:33" s="5" customFormat="1" ht="63">
      <c r="A62" s="229" t="str">
        <f>1!A63</f>
        <v>1.4.2.10</v>
      </c>
      <c r="B62" s="120" t="str">
        <f>1!B63</f>
        <v>Строительство КЛ-0,4 кВ от РП-2 (С-1) до ВРУ тренировочной площадки стадииона "Спартак" ул.Калинина,3 (линия 1), г.Железноводск, L= 0,245 км (АВБбШв 4х240)</v>
      </c>
      <c r="C62" s="502" t="str">
        <f>1!C63</f>
        <v>G_Gelezno_ТР10</v>
      </c>
      <c r="D62" s="91" t="str">
        <f>2!D59</f>
        <v>П</v>
      </c>
      <c r="E62" s="91">
        <f>2!E59</f>
        <v>2017</v>
      </c>
      <c r="F62" s="91">
        <f>2!F59</f>
        <v>2017</v>
      </c>
      <c r="G62" s="91"/>
      <c r="H62" s="474">
        <f t="shared" si="33"/>
        <v>0.38102926</v>
      </c>
      <c r="I62" s="474">
        <f>2!L59/1.18</f>
        <v>0.38102926</v>
      </c>
      <c r="J62" s="91"/>
      <c r="K62" s="481">
        <f aca="true" t="shared" si="45" ref="K62:K73">L62+M62+N62+O62</f>
        <v>0.38102926</v>
      </c>
      <c r="L62" s="481"/>
      <c r="M62" s="481">
        <f aca="true" t="shared" si="46" ref="M62:M73">R62</f>
        <v>0.13383215999999998</v>
      </c>
      <c r="N62" s="481">
        <f aca="true" t="shared" si="47" ref="N62:N73">S62</f>
        <v>0.2471971</v>
      </c>
      <c r="O62" s="481"/>
      <c r="P62" s="481">
        <f t="shared" si="35"/>
        <v>0.38102926</v>
      </c>
      <c r="Q62" s="481"/>
      <c r="R62" s="481">
        <f t="shared" si="34"/>
        <v>0.13383215999999998</v>
      </c>
      <c r="S62" s="481">
        <v>0.2471971</v>
      </c>
      <c r="T62" s="481"/>
      <c r="U62" s="121"/>
      <c r="V62" s="121"/>
      <c r="W62" s="121"/>
      <c r="X62" s="121"/>
      <c r="Y62" s="121"/>
      <c r="Z62" s="121"/>
      <c r="AA62" s="481">
        <f aca="true" t="shared" si="48" ref="AA62:AA73">H62</f>
        <v>0.38102926</v>
      </c>
      <c r="AB62" s="481">
        <f aca="true" t="shared" si="49" ref="AB62:AB73">I62</f>
        <v>0.38102926</v>
      </c>
      <c r="AC62" s="481">
        <f aca="true" t="shared" si="50" ref="AC62:AC73">H62</f>
        <v>0.38102926</v>
      </c>
      <c r="AD62" s="481">
        <f aca="true" t="shared" si="51" ref="AD62:AD73">I62</f>
        <v>0.38102926</v>
      </c>
      <c r="AE62" s="481">
        <f aca="true" t="shared" si="52" ref="AE62:AE73">H62</f>
        <v>0.38102926</v>
      </c>
      <c r="AF62" s="481">
        <f aca="true" t="shared" si="53" ref="AF62:AF73">I62</f>
        <v>0.38102926</v>
      </c>
      <c r="AG62" s="206" t="s">
        <v>247</v>
      </c>
    </row>
    <row r="63" spans="1:33" s="5" customFormat="1" ht="63">
      <c r="A63" s="229" t="str">
        <f>1!A64</f>
        <v>1.4.2.11</v>
      </c>
      <c r="B63" s="120" t="str">
        <f>1!B64</f>
        <v>Строительство КЛ-0,4 кВ от РП-2 (С-2) до ВРУ тренировочной площадки стадиона "Спартак" ул.Калинина,3 (линия 2), г.Железноводск, L= 0,245 км (АВБбШв 4х240)</v>
      </c>
      <c r="C63" s="502" t="str">
        <f>1!C64</f>
        <v>G_Gelezno_ТР11</v>
      </c>
      <c r="D63" s="91" t="str">
        <f>2!D60</f>
        <v>П</v>
      </c>
      <c r="E63" s="91">
        <f>2!E60</f>
        <v>2017</v>
      </c>
      <c r="F63" s="91">
        <f>2!F60</f>
        <v>2017</v>
      </c>
      <c r="G63" s="91"/>
      <c r="H63" s="474">
        <f t="shared" si="33"/>
        <v>0.2857998</v>
      </c>
      <c r="I63" s="474">
        <f>2!L60/1.18</f>
        <v>0.2857998</v>
      </c>
      <c r="J63" s="91"/>
      <c r="K63" s="481">
        <f t="shared" si="45"/>
        <v>0.2857998</v>
      </c>
      <c r="L63" s="481"/>
      <c r="M63" s="481">
        <f t="shared" si="46"/>
        <v>0.07830762999999999</v>
      </c>
      <c r="N63" s="481">
        <f t="shared" si="47"/>
        <v>0.20749217</v>
      </c>
      <c r="O63" s="481"/>
      <c r="P63" s="481">
        <f t="shared" si="35"/>
        <v>0.2857998</v>
      </c>
      <c r="Q63" s="481"/>
      <c r="R63" s="481">
        <f t="shared" si="34"/>
        <v>0.07830762999999999</v>
      </c>
      <c r="S63" s="481">
        <v>0.20749217</v>
      </c>
      <c r="T63" s="481"/>
      <c r="U63" s="121"/>
      <c r="V63" s="121"/>
      <c r="W63" s="121"/>
      <c r="X63" s="121"/>
      <c r="Y63" s="121"/>
      <c r="Z63" s="121"/>
      <c r="AA63" s="481">
        <f t="shared" si="48"/>
        <v>0.2857998</v>
      </c>
      <c r="AB63" s="481">
        <f t="shared" si="49"/>
        <v>0.2857998</v>
      </c>
      <c r="AC63" s="481">
        <f t="shared" si="50"/>
        <v>0.2857998</v>
      </c>
      <c r="AD63" s="481">
        <f t="shared" si="51"/>
        <v>0.2857998</v>
      </c>
      <c r="AE63" s="481">
        <f t="shared" si="52"/>
        <v>0.2857998</v>
      </c>
      <c r="AF63" s="481">
        <f t="shared" si="53"/>
        <v>0.2857998</v>
      </c>
      <c r="AG63" s="206" t="s">
        <v>247</v>
      </c>
    </row>
    <row r="64" spans="1:33" s="5" customFormat="1" ht="47.25">
      <c r="A64" s="229" t="str">
        <f>1!A65</f>
        <v>1.4.2.12</v>
      </c>
      <c r="B64" s="120" t="str">
        <f>1!B65</f>
        <v>Строительство КТП-248 ул.Тихая,8, п.Иноземцево (ТМГ-250 кВА)</v>
      </c>
      <c r="C64" s="502" t="str">
        <f>1!C65</f>
        <v>G_Gelezno_ТР12</v>
      </c>
      <c r="D64" s="91" t="str">
        <f>2!D61</f>
        <v>П</v>
      </c>
      <c r="E64" s="91">
        <f>2!E61</f>
        <v>2017</v>
      </c>
      <c r="F64" s="91">
        <f>2!F61</f>
        <v>2017</v>
      </c>
      <c r="G64" s="91"/>
      <c r="H64" s="474">
        <f t="shared" si="33"/>
        <v>0.91319122</v>
      </c>
      <c r="I64" s="474">
        <f>2!L61/1.18</f>
        <v>0.91319122</v>
      </c>
      <c r="J64" s="91"/>
      <c r="K64" s="481">
        <f t="shared" si="45"/>
        <v>0.91319122</v>
      </c>
      <c r="L64" s="481"/>
      <c r="M64" s="481">
        <f t="shared" si="46"/>
        <v>0.22426734999999998</v>
      </c>
      <c r="N64" s="481">
        <f t="shared" si="47"/>
        <v>0.68892387</v>
      </c>
      <c r="O64" s="481"/>
      <c r="P64" s="481">
        <f t="shared" si="35"/>
        <v>0.91319122</v>
      </c>
      <c r="Q64" s="481"/>
      <c r="R64" s="481">
        <f t="shared" si="34"/>
        <v>0.22426734999999998</v>
      </c>
      <c r="S64" s="481">
        <f>0.68892387</f>
        <v>0.68892387</v>
      </c>
      <c r="T64" s="481"/>
      <c r="U64" s="121"/>
      <c r="V64" s="121"/>
      <c r="W64" s="121"/>
      <c r="X64" s="121"/>
      <c r="Y64" s="121"/>
      <c r="Z64" s="121"/>
      <c r="AA64" s="481">
        <f t="shared" si="48"/>
        <v>0.91319122</v>
      </c>
      <c r="AB64" s="481">
        <f t="shared" si="49"/>
        <v>0.91319122</v>
      </c>
      <c r="AC64" s="481">
        <f t="shared" si="50"/>
        <v>0.91319122</v>
      </c>
      <c r="AD64" s="481">
        <f t="shared" si="51"/>
        <v>0.91319122</v>
      </c>
      <c r="AE64" s="481">
        <f t="shared" si="52"/>
        <v>0.91319122</v>
      </c>
      <c r="AF64" s="481">
        <f t="shared" si="53"/>
        <v>0.91319122</v>
      </c>
      <c r="AG64" s="206" t="s">
        <v>247</v>
      </c>
    </row>
    <row r="65" spans="1:33" s="5" customFormat="1" ht="47.25">
      <c r="A65" s="229" t="str">
        <f>1!A66</f>
        <v>1.4.2.13</v>
      </c>
      <c r="B65" s="120" t="str">
        <f>1!B66</f>
        <v>Строительство ВЛ-0,4 кВ от КТП-233 до ВРУ магазина ул.Вокзальная, 46А, п.Иноземцево, L= 0,408 км (СИП-2 3х50+1х54,6)</v>
      </c>
      <c r="C65" s="502" t="str">
        <f>1!C66</f>
        <v>G_Gelezno_ТР13</v>
      </c>
      <c r="D65" s="91" t="str">
        <f>2!D62</f>
        <v>П</v>
      </c>
      <c r="E65" s="91">
        <f>2!E62</f>
        <v>2017</v>
      </c>
      <c r="F65" s="91">
        <f>2!F62</f>
        <v>2017</v>
      </c>
      <c r="G65" s="91"/>
      <c r="H65" s="474">
        <f t="shared" si="33"/>
        <v>0.17022139</v>
      </c>
      <c r="I65" s="474">
        <f>2!L62/1.18</f>
        <v>0.17022139</v>
      </c>
      <c r="J65" s="91"/>
      <c r="K65" s="481">
        <f t="shared" si="45"/>
        <v>0.17022139</v>
      </c>
      <c r="L65" s="481"/>
      <c r="M65" s="481">
        <f t="shared" si="46"/>
        <v>0.04088140000000001</v>
      </c>
      <c r="N65" s="481">
        <f t="shared" si="47"/>
        <v>0.12933999</v>
      </c>
      <c r="O65" s="481"/>
      <c r="P65" s="481">
        <f t="shared" si="35"/>
        <v>0.17022139</v>
      </c>
      <c r="Q65" s="481"/>
      <c r="R65" s="481">
        <f t="shared" si="34"/>
        <v>0.04088140000000001</v>
      </c>
      <c r="S65" s="481">
        <f>0.12933999</f>
        <v>0.12933999</v>
      </c>
      <c r="T65" s="481"/>
      <c r="U65" s="121"/>
      <c r="V65" s="121"/>
      <c r="W65" s="121"/>
      <c r="X65" s="121"/>
      <c r="Y65" s="121"/>
      <c r="Z65" s="121"/>
      <c r="AA65" s="481">
        <f t="shared" si="48"/>
        <v>0.17022139</v>
      </c>
      <c r="AB65" s="481">
        <f t="shared" si="49"/>
        <v>0.17022139</v>
      </c>
      <c r="AC65" s="481">
        <f t="shared" si="50"/>
        <v>0.17022139</v>
      </c>
      <c r="AD65" s="481">
        <f t="shared" si="51"/>
        <v>0.17022139</v>
      </c>
      <c r="AE65" s="481">
        <f t="shared" si="52"/>
        <v>0.17022139</v>
      </c>
      <c r="AF65" s="481">
        <f t="shared" si="53"/>
        <v>0.17022139</v>
      </c>
      <c r="AG65" s="206" t="s">
        <v>247</v>
      </c>
    </row>
    <row r="66" spans="1:33" s="5" customFormat="1" ht="47.25">
      <c r="A66" s="229" t="str">
        <f>1!A67</f>
        <v>1.4.2.14</v>
      </c>
      <c r="B66" s="120" t="str">
        <f>1!B67</f>
        <v>Строительство ВЛ-0,4 кВ от РУ-0,4кВ ТП-75 (С-1) по ул.Ленина район дома 123, г.Железноводск, L= 0,143 км (СИП-2 3х50+1х54,6)</v>
      </c>
      <c r="C66" s="502" t="str">
        <f>1!C67</f>
        <v>G_Gelezno_ТР14</v>
      </c>
      <c r="D66" s="91" t="str">
        <f>2!D63</f>
        <v>П</v>
      </c>
      <c r="E66" s="91">
        <f>2!E63</f>
        <v>2017</v>
      </c>
      <c r="F66" s="91">
        <f>2!F63</f>
        <v>2017</v>
      </c>
      <c r="G66" s="91"/>
      <c r="H66" s="474">
        <f t="shared" si="33"/>
        <v>0.09412468</v>
      </c>
      <c r="I66" s="474">
        <f>2!L63/1.18</f>
        <v>0.09412468</v>
      </c>
      <c r="J66" s="91"/>
      <c r="K66" s="481">
        <f t="shared" si="45"/>
        <v>0.09412468</v>
      </c>
      <c r="L66" s="481"/>
      <c r="M66" s="481">
        <f t="shared" si="46"/>
        <v>0.0168163016</v>
      </c>
      <c r="N66" s="481">
        <f t="shared" si="47"/>
        <v>0.0773083784</v>
      </c>
      <c r="O66" s="481"/>
      <c r="P66" s="481">
        <f t="shared" si="35"/>
        <v>0.09412468</v>
      </c>
      <c r="Q66" s="481"/>
      <c r="R66" s="481">
        <f t="shared" si="34"/>
        <v>0.0168163016</v>
      </c>
      <c r="S66" s="481">
        <f>0.00989864*7.81</f>
        <v>0.0773083784</v>
      </c>
      <c r="T66" s="481"/>
      <c r="U66" s="121"/>
      <c r="V66" s="121"/>
      <c r="W66" s="121"/>
      <c r="X66" s="121"/>
      <c r="Y66" s="121"/>
      <c r="Z66" s="121"/>
      <c r="AA66" s="481">
        <f t="shared" si="48"/>
        <v>0.09412468</v>
      </c>
      <c r="AB66" s="481">
        <f t="shared" si="49"/>
        <v>0.09412468</v>
      </c>
      <c r="AC66" s="481">
        <f t="shared" si="50"/>
        <v>0.09412468</v>
      </c>
      <c r="AD66" s="481">
        <f t="shared" si="51"/>
        <v>0.09412468</v>
      </c>
      <c r="AE66" s="481">
        <f t="shared" si="52"/>
        <v>0.09412468</v>
      </c>
      <c r="AF66" s="481">
        <f t="shared" si="53"/>
        <v>0.09412468</v>
      </c>
      <c r="AG66" s="206" t="s">
        <v>247</v>
      </c>
    </row>
    <row r="67" spans="1:33" s="5" customFormat="1" ht="47.25">
      <c r="A67" s="229" t="str">
        <f>1!A68</f>
        <v>1.4.2.15</v>
      </c>
      <c r="B67" s="120" t="str">
        <f>1!B68</f>
        <v>Строительство ВЛ-0,4кВ от РУ-0,4 кВ ТП-75 (С-2) по ул.Ленина район дома 123, г.Железноводск, L= 0,143 км (СИП-2 3х50+1х54,6)</v>
      </c>
      <c r="C67" s="502" t="str">
        <f>1!C68</f>
        <v>G_Gelezno_ТР15</v>
      </c>
      <c r="D67" s="91" t="str">
        <f>2!D64</f>
        <v>П</v>
      </c>
      <c r="E67" s="91">
        <f>2!E64</f>
        <v>2017</v>
      </c>
      <c r="F67" s="91">
        <f>2!F64</f>
        <v>2017</v>
      </c>
      <c r="G67" s="91"/>
      <c r="H67" s="474">
        <f t="shared" si="33"/>
        <v>0.07665076</v>
      </c>
      <c r="I67" s="474">
        <f>2!L64/1.18</f>
        <v>0.07665076</v>
      </c>
      <c r="J67" s="91"/>
      <c r="K67" s="481">
        <f t="shared" si="45"/>
        <v>0.07665076</v>
      </c>
      <c r="L67" s="481"/>
      <c r="M67" s="481">
        <f t="shared" si="46"/>
        <v>0.011556596799999999</v>
      </c>
      <c r="N67" s="481">
        <f t="shared" si="47"/>
        <v>0.0650941632</v>
      </c>
      <c r="O67" s="481"/>
      <c r="P67" s="481">
        <f t="shared" si="35"/>
        <v>0.07665076</v>
      </c>
      <c r="Q67" s="481"/>
      <c r="R67" s="481">
        <f t="shared" si="34"/>
        <v>0.011556596799999999</v>
      </c>
      <c r="S67" s="481">
        <f>0.00833472*7.81</f>
        <v>0.0650941632</v>
      </c>
      <c r="T67" s="481"/>
      <c r="U67" s="121"/>
      <c r="V67" s="121"/>
      <c r="W67" s="121"/>
      <c r="X67" s="121"/>
      <c r="Y67" s="121"/>
      <c r="Z67" s="121"/>
      <c r="AA67" s="481">
        <f t="shared" si="48"/>
        <v>0.07665076</v>
      </c>
      <c r="AB67" s="481">
        <f t="shared" si="49"/>
        <v>0.07665076</v>
      </c>
      <c r="AC67" s="481">
        <f t="shared" si="50"/>
        <v>0.07665076</v>
      </c>
      <c r="AD67" s="481">
        <f t="shared" si="51"/>
        <v>0.07665076</v>
      </c>
      <c r="AE67" s="481">
        <f t="shared" si="52"/>
        <v>0.07665076</v>
      </c>
      <c r="AF67" s="481">
        <f t="shared" si="53"/>
        <v>0.07665076</v>
      </c>
      <c r="AG67" s="206" t="s">
        <v>247</v>
      </c>
    </row>
    <row r="68" spans="1:33" s="5" customFormat="1" ht="47.25">
      <c r="A68" s="229" t="str">
        <f>1!A69</f>
        <v>1.4.2.16</v>
      </c>
      <c r="B68" s="120" t="str">
        <f>1!B69</f>
        <v>Строительство КЛ-0,4 кВ от ВРУ-1 до ВРУ-2 в ЖК "Вишнёвый сад" (2-ая очередь), п.Иноземцево, L= 0,04 км (АВБбШв 4х120)</v>
      </c>
      <c r="C68" s="502" t="str">
        <f>1!C69</f>
        <v>G_Gelezno_ТР16</v>
      </c>
      <c r="D68" s="91" t="str">
        <f>2!D65</f>
        <v>П</v>
      </c>
      <c r="E68" s="91">
        <f>2!E65</f>
        <v>2017</v>
      </c>
      <c r="F68" s="91">
        <f>2!F65</f>
        <v>2017</v>
      </c>
      <c r="G68" s="91"/>
      <c r="H68" s="474">
        <f t="shared" si="33"/>
        <v>0.05238506</v>
      </c>
      <c r="I68" s="474">
        <f>2!L65</f>
        <v>0.05238506</v>
      </c>
      <c r="J68" s="91"/>
      <c r="K68" s="481">
        <f t="shared" si="45"/>
        <v>0.05238506</v>
      </c>
      <c r="L68" s="481"/>
      <c r="M68" s="481">
        <f t="shared" si="46"/>
        <v>0.030657169999999997</v>
      </c>
      <c r="N68" s="481">
        <f t="shared" si="47"/>
        <v>0.02172789</v>
      </c>
      <c r="O68" s="481"/>
      <c r="P68" s="481">
        <f t="shared" si="35"/>
        <v>0.05238506</v>
      </c>
      <c r="Q68" s="481"/>
      <c r="R68" s="481">
        <f t="shared" si="34"/>
        <v>0.030657169999999997</v>
      </c>
      <c r="S68" s="481">
        <f>0.02172789</f>
        <v>0.02172789</v>
      </c>
      <c r="T68" s="481"/>
      <c r="U68" s="121"/>
      <c r="V68" s="121"/>
      <c r="W68" s="121"/>
      <c r="X68" s="121"/>
      <c r="Y68" s="121"/>
      <c r="Z68" s="121"/>
      <c r="AA68" s="481">
        <f t="shared" si="48"/>
        <v>0.05238506</v>
      </c>
      <c r="AB68" s="481">
        <f t="shared" si="49"/>
        <v>0.05238506</v>
      </c>
      <c r="AC68" s="481">
        <f t="shared" si="50"/>
        <v>0.05238506</v>
      </c>
      <c r="AD68" s="481">
        <f t="shared" si="51"/>
        <v>0.05238506</v>
      </c>
      <c r="AE68" s="481">
        <f t="shared" si="52"/>
        <v>0.05238506</v>
      </c>
      <c r="AF68" s="481">
        <f t="shared" si="53"/>
        <v>0.05238506</v>
      </c>
      <c r="AG68" s="206" t="s">
        <v>247</v>
      </c>
    </row>
    <row r="69" spans="1:33" s="5" customFormat="1" ht="47.25">
      <c r="A69" s="229" t="str">
        <f>1!A70</f>
        <v>1.4.2.17</v>
      </c>
      <c r="B69" s="120" t="str">
        <f>1!B70</f>
        <v>Строительство КЛ-0,4кВ от ВРУ-11 до ВРУ-12 в ЖК"Вишнёвый сад" (2-ая очередь), п.Иноземцево, L= 0,035 км (АВБбШв 4х95)</v>
      </c>
      <c r="C69" s="502" t="str">
        <f>1!C70</f>
        <v>G_Gelezno_ТР17</v>
      </c>
      <c r="D69" s="91" t="str">
        <f>2!D66</f>
        <v>П</v>
      </c>
      <c r="E69" s="91">
        <f>2!E66</f>
        <v>2017</v>
      </c>
      <c r="F69" s="91">
        <f>2!F66</f>
        <v>2017</v>
      </c>
      <c r="G69" s="91"/>
      <c r="H69" s="474">
        <f t="shared" si="33"/>
        <v>0.04696934</v>
      </c>
      <c r="I69" s="474">
        <f>2!L66</f>
        <v>0.04696934</v>
      </c>
      <c r="J69" s="91"/>
      <c r="K69" s="481">
        <f t="shared" si="45"/>
        <v>0.04696934</v>
      </c>
      <c r="L69" s="481"/>
      <c r="M69" s="481">
        <f t="shared" si="46"/>
        <v>0.02926663</v>
      </c>
      <c r="N69" s="481">
        <f t="shared" si="47"/>
        <v>0.01770271</v>
      </c>
      <c r="O69" s="481"/>
      <c r="P69" s="481">
        <f t="shared" si="35"/>
        <v>0.04696934</v>
      </c>
      <c r="Q69" s="481"/>
      <c r="R69" s="481">
        <f t="shared" si="34"/>
        <v>0.02926663</v>
      </c>
      <c r="S69" s="481">
        <f>0.01770271</f>
        <v>0.01770271</v>
      </c>
      <c r="T69" s="481"/>
      <c r="U69" s="121"/>
      <c r="V69" s="121"/>
      <c r="W69" s="121"/>
      <c r="X69" s="121"/>
      <c r="Y69" s="121"/>
      <c r="Z69" s="121"/>
      <c r="AA69" s="481">
        <f t="shared" si="48"/>
        <v>0.04696934</v>
      </c>
      <c r="AB69" s="481">
        <f t="shared" si="49"/>
        <v>0.04696934</v>
      </c>
      <c r="AC69" s="481">
        <f t="shared" si="50"/>
        <v>0.04696934</v>
      </c>
      <c r="AD69" s="481">
        <f t="shared" si="51"/>
        <v>0.04696934</v>
      </c>
      <c r="AE69" s="481">
        <f t="shared" si="52"/>
        <v>0.04696934</v>
      </c>
      <c r="AF69" s="481">
        <f t="shared" si="53"/>
        <v>0.04696934</v>
      </c>
      <c r="AG69" s="206" t="s">
        <v>247</v>
      </c>
    </row>
    <row r="70" spans="1:33" s="5" customFormat="1" ht="47.25">
      <c r="A70" s="229" t="str">
        <f>1!A71</f>
        <v>1.4.2.18</v>
      </c>
      <c r="B70" s="120" t="str">
        <f>1!B71</f>
        <v>Строительство КЛ-0,4кВ от ВРУ-13 до ВРУ-14 в ЖК"Вишнёвый сад" (2-ая очередь), п.Иноземцево, L= 0,035 км (АВБбШв 4х95)</v>
      </c>
      <c r="C70" s="502" t="str">
        <f>1!C71</f>
        <v>G_Gelezno_ТР18</v>
      </c>
      <c r="D70" s="91" t="str">
        <f>2!D67</f>
        <v>П</v>
      </c>
      <c r="E70" s="91">
        <f>2!E67</f>
        <v>2017</v>
      </c>
      <c r="F70" s="91">
        <f>2!F67</f>
        <v>2017</v>
      </c>
      <c r="G70" s="91"/>
      <c r="H70" s="474">
        <f t="shared" si="33"/>
        <v>0.04273267</v>
      </c>
      <c r="I70" s="474">
        <f>2!L67</f>
        <v>0.04273267</v>
      </c>
      <c r="J70" s="91"/>
      <c r="K70" s="481">
        <f t="shared" si="45"/>
        <v>0.04273267</v>
      </c>
      <c r="L70" s="481"/>
      <c r="M70" s="481">
        <f t="shared" si="46"/>
        <v>0.027702070000000002</v>
      </c>
      <c r="N70" s="481">
        <f t="shared" si="47"/>
        <v>0.0150306</v>
      </c>
      <c r="O70" s="481"/>
      <c r="P70" s="481">
        <f t="shared" si="35"/>
        <v>0.04273267</v>
      </c>
      <c r="Q70" s="481"/>
      <c r="R70" s="481">
        <f t="shared" si="34"/>
        <v>0.027702070000000002</v>
      </c>
      <c r="S70" s="481">
        <f>0.0150306</f>
        <v>0.0150306</v>
      </c>
      <c r="T70" s="481"/>
      <c r="U70" s="121"/>
      <c r="V70" s="121"/>
      <c r="W70" s="121"/>
      <c r="X70" s="121"/>
      <c r="Y70" s="121"/>
      <c r="Z70" s="121"/>
      <c r="AA70" s="481">
        <f t="shared" si="48"/>
        <v>0.04273267</v>
      </c>
      <c r="AB70" s="481">
        <f t="shared" si="49"/>
        <v>0.04273267</v>
      </c>
      <c r="AC70" s="481">
        <f t="shared" si="50"/>
        <v>0.04273267</v>
      </c>
      <c r="AD70" s="481">
        <f t="shared" si="51"/>
        <v>0.04273267</v>
      </c>
      <c r="AE70" s="481">
        <f t="shared" si="52"/>
        <v>0.04273267</v>
      </c>
      <c r="AF70" s="481">
        <f t="shared" si="53"/>
        <v>0.04273267</v>
      </c>
      <c r="AG70" s="206" t="s">
        <v>247</v>
      </c>
    </row>
    <row r="71" spans="1:33" s="5" customFormat="1" ht="47.25">
      <c r="A71" s="229" t="str">
        <f>1!A72</f>
        <v>1.4.2.19</v>
      </c>
      <c r="B71" s="120" t="str">
        <f>1!B72</f>
        <v>Строительство КЛ-0,4 кВ от ВРУ-9 до ВРУ-10 в ЖК "Вишнёвый сад" (2-ая очередь), п.Иноземцево, L= 0,035 км (АВБбШв 4х95)</v>
      </c>
      <c r="C71" s="502" t="str">
        <f>1!C72</f>
        <v>G_Gelezno_ТР19</v>
      </c>
      <c r="D71" s="91" t="str">
        <f>2!D68</f>
        <v>П</v>
      </c>
      <c r="E71" s="91">
        <f>2!E68</f>
        <v>2017</v>
      </c>
      <c r="F71" s="91">
        <f>2!F68</f>
        <v>2017</v>
      </c>
      <c r="G71" s="91"/>
      <c r="H71" s="474">
        <f t="shared" si="33"/>
        <v>0.04273267</v>
      </c>
      <c r="I71" s="474">
        <f>2!L68</f>
        <v>0.04273267</v>
      </c>
      <c r="J71" s="91"/>
      <c r="K71" s="481">
        <f t="shared" si="45"/>
        <v>0.04273267</v>
      </c>
      <c r="L71" s="481"/>
      <c r="M71" s="481">
        <f t="shared" si="46"/>
        <v>0.027702070000000002</v>
      </c>
      <c r="N71" s="481">
        <f t="shared" si="47"/>
        <v>0.0150306</v>
      </c>
      <c r="O71" s="481"/>
      <c r="P71" s="481">
        <f t="shared" si="35"/>
        <v>0.04273267</v>
      </c>
      <c r="Q71" s="481"/>
      <c r="R71" s="481">
        <f t="shared" si="34"/>
        <v>0.027702070000000002</v>
      </c>
      <c r="S71" s="481">
        <f>0.0150306</f>
        <v>0.0150306</v>
      </c>
      <c r="T71" s="481"/>
      <c r="U71" s="121"/>
      <c r="V71" s="121"/>
      <c r="W71" s="121"/>
      <c r="X71" s="121"/>
      <c r="Y71" s="121"/>
      <c r="Z71" s="121"/>
      <c r="AA71" s="481">
        <f t="shared" si="48"/>
        <v>0.04273267</v>
      </c>
      <c r="AB71" s="481">
        <f t="shared" si="49"/>
        <v>0.04273267</v>
      </c>
      <c r="AC71" s="481">
        <f t="shared" si="50"/>
        <v>0.04273267</v>
      </c>
      <c r="AD71" s="481">
        <f t="shared" si="51"/>
        <v>0.04273267</v>
      </c>
      <c r="AE71" s="481">
        <f t="shared" si="52"/>
        <v>0.04273267</v>
      </c>
      <c r="AF71" s="481">
        <f t="shared" si="53"/>
        <v>0.04273267</v>
      </c>
      <c r="AG71" s="206" t="s">
        <v>247</v>
      </c>
    </row>
    <row r="72" spans="1:33" s="5" customFormat="1" ht="47.25">
      <c r="A72" s="229" t="str">
        <f>1!A73</f>
        <v>1.4.2.20</v>
      </c>
      <c r="B72" s="120" t="str">
        <f>1!B73</f>
        <v>Строительство КЛ-0,4 кВ от РУ-0,4 кВ 2КТП-244 до ВРУ-10 в ЖК "Вишнёвый сад" (2-ая очередь), п.Иноземцево, L= 0,19 км (АВБбШв 4х120)</v>
      </c>
      <c r="C72" s="502" t="str">
        <f>1!C73</f>
        <v>G_Gelezno_ТР20</v>
      </c>
      <c r="D72" s="91" t="str">
        <f>2!D69</f>
        <v>П</v>
      </c>
      <c r="E72" s="91">
        <f>2!E69</f>
        <v>2017</v>
      </c>
      <c r="F72" s="91">
        <f>2!F69</f>
        <v>2017</v>
      </c>
      <c r="G72" s="91"/>
      <c r="H72" s="474">
        <f t="shared" si="33"/>
        <v>0.17617151</v>
      </c>
      <c r="I72" s="474">
        <f>2!L69</f>
        <v>0.17617151</v>
      </c>
      <c r="J72" s="91"/>
      <c r="K72" s="481">
        <f t="shared" si="45"/>
        <v>0.17617151</v>
      </c>
      <c r="L72" s="481"/>
      <c r="M72" s="481">
        <f t="shared" si="46"/>
        <v>0.0767882</v>
      </c>
      <c r="N72" s="481">
        <f t="shared" si="47"/>
        <v>0.09938331</v>
      </c>
      <c r="O72" s="481"/>
      <c r="P72" s="481">
        <f t="shared" si="35"/>
        <v>0.17617151</v>
      </c>
      <c r="Q72" s="481"/>
      <c r="R72" s="481">
        <f t="shared" si="34"/>
        <v>0.0767882</v>
      </c>
      <c r="S72" s="481">
        <f>0.09938331</f>
        <v>0.09938331</v>
      </c>
      <c r="T72" s="481"/>
      <c r="U72" s="121"/>
      <c r="V72" s="121"/>
      <c r="W72" s="121"/>
      <c r="X72" s="121"/>
      <c r="Y72" s="121"/>
      <c r="Z72" s="121"/>
      <c r="AA72" s="481">
        <f t="shared" si="48"/>
        <v>0.17617151</v>
      </c>
      <c r="AB72" s="481">
        <f t="shared" si="49"/>
        <v>0.17617151</v>
      </c>
      <c r="AC72" s="481">
        <f t="shared" si="50"/>
        <v>0.17617151</v>
      </c>
      <c r="AD72" s="481">
        <f t="shared" si="51"/>
        <v>0.17617151</v>
      </c>
      <c r="AE72" s="481">
        <f t="shared" si="52"/>
        <v>0.17617151</v>
      </c>
      <c r="AF72" s="481">
        <f t="shared" si="53"/>
        <v>0.17617151</v>
      </c>
      <c r="AG72" s="206" t="s">
        <v>247</v>
      </c>
    </row>
    <row r="73" spans="1:33" s="5" customFormat="1" ht="47.25">
      <c r="A73" s="229" t="str">
        <f>1!A74</f>
        <v>1.4.2.21</v>
      </c>
      <c r="B73" s="120" t="str">
        <f>1!B74</f>
        <v>Строительство КЛ-0,4 кВ от РУ-0,4 кВ 2КТП-244 до ВРУ-11 в ЖК "Вишнёвый сад" (2-ая очередь), п.Иноземцево, L= 0,14 км (АВБбШв 4х95)</v>
      </c>
      <c r="C73" s="502" t="str">
        <f>1!C74</f>
        <v>G_Gelezno_ТР21</v>
      </c>
      <c r="D73" s="91" t="str">
        <f>2!D70</f>
        <v>П</v>
      </c>
      <c r="E73" s="91">
        <f>2!E70</f>
        <v>2017</v>
      </c>
      <c r="F73" s="91">
        <f>2!F70</f>
        <v>2017</v>
      </c>
      <c r="G73" s="91"/>
      <c r="H73" s="474">
        <f t="shared" si="33"/>
        <v>0.13190507</v>
      </c>
      <c r="I73" s="474">
        <f>2!L70</f>
        <v>0.13190507</v>
      </c>
      <c r="J73" s="91"/>
      <c r="K73" s="481">
        <f t="shared" si="45"/>
        <v>0.13190507</v>
      </c>
      <c r="L73" s="481"/>
      <c r="M73" s="481">
        <f t="shared" si="46"/>
        <v>0.06321416000000002</v>
      </c>
      <c r="N73" s="481">
        <f t="shared" si="47"/>
        <v>0.06869091</v>
      </c>
      <c r="O73" s="481"/>
      <c r="P73" s="481">
        <f t="shared" si="35"/>
        <v>0.13190507</v>
      </c>
      <c r="Q73" s="481"/>
      <c r="R73" s="481">
        <f t="shared" si="34"/>
        <v>0.06321416000000002</v>
      </c>
      <c r="S73" s="481">
        <f>0.06869091</f>
        <v>0.06869091</v>
      </c>
      <c r="T73" s="481"/>
      <c r="U73" s="121"/>
      <c r="V73" s="121"/>
      <c r="W73" s="121"/>
      <c r="X73" s="121"/>
      <c r="Y73" s="121"/>
      <c r="Z73" s="121"/>
      <c r="AA73" s="481">
        <f t="shared" si="48"/>
        <v>0.13190507</v>
      </c>
      <c r="AB73" s="481">
        <f t="shared" si="49"/>
        <v>0.13190507</v>
      </c>
      <c r="AC73" s="481">
        <f t="shared" si="50"/>
        <v>0.13190507</v>
      </c>
      <c r="AD73" s="481">
        <f t="shared" si="51"/>
        <v>0.13190507</v>
      </c>
      <c r="AE73" s="481">
        <f t="shared" si="52"/>
        <v>0.13190507</v>
      </c>
      <c r="AF73" s="481">
        <f t="shared" si="53"/>
        <v>0.13190507</v>
      </c>
      <c r="AG73" s="206" t="s">
        <v>247</v>
      </c>
    </row>
    <row r="74" spans="1:33" s="5" customFormat="1" ht="47.25">
      <c r="A74" s="229" t="str">
        <f>1!A75</f>
        <v>1.4.2.22</v>
      </c>
      <c r="B74" s="120" t="str">
        <f>1!B75</f>
        <v>Строительство КЛ-0,4 кВ от РУ-0,4 кВ 2КТП-244 до ВРУ-13 в ЖК "Вишнёвый сад" (2-ая очередь), п.Иноземцево, L= 0,06 км (АВБбШв 4х120)</v>
      </c>
      <c r="C74" s="502" t="str">
        <f>1!C75</f>
        <v>G_Gelezno_ТР22</v>
      </c>
      <c r="D74" s="91" t="str">
        <f>2!D71</f>
        <v>П</v>
      </c>
      <c r="E74" s="91">
        <f>2!E71</f>
        <v>2017</v>
      </c>
      <c r="F74" s="91">
        <f>2!F71</f>
        <v>2017</v>
      </c>
      <c r="G74" s="91"/>
      <c r="H74" s="474">
        <f t="shared" si="33"/>
        <v>0.07768097</v>
      </c>
      <c r="I74" s="474">
        <f>2!L71</f>
        <v>0.07768097</v>
      </c>
      <c r="J74" s="91"/>
      <c r="K74" s="481">
        <f aca="true" t="shared" si="54" ref="K74:K87">L74+M74+N74+O74</f>
        <v>0.07768097</v>
      </c>
      <c r="L74" s="481"/>
      <c r="M74" s="481">
        <f aca="true" t="shared" si="55" ref="M74:M87">R74</f>
        <v>0.04188709</v>
      </c>
      <c r="N74" s="481">
        <f aca="true" t="shared" si="56" ref="N74:N87">S74</f>
        <v>0.03579388</v>
      </c>
      <c r="O74" s="481"/>
      <c r="P74" s="481">
        <f t="shared" si="35"/>
        <v>0.07768097</v>
      </c>
      <c r="Q74" s="481"/>
      <c r="R74" s="481">
        <f t="shared" si="34"/>
        <v>0.04188709</v>
      </c>
      <c r="S74" s="481">
        <f>0.03579388</f>
        <v>0.03579388</v>
      </c>
      <c r="T74" s="481"/>
      <c r="U74" s="121"/>
      <c r="V74" s="121"/>
      <c r="W74" s="121"/>
      <c r="X74" s="121"/>
      <c r="Y74" s="121"/>
      <c r="Z74" s="121"/>
      <c r="AA74" s="481">
        <f aca="true" t="shared" si="57" ref="AA74:AA87">H74</f>
        <v>0.07768097</v>
      </c>
      <c r="AB74" s="481">
        <f aca="true" t="shared" si="58" ref="AB74:AB87">I74</f>
        <v>0.07768097</v>
      </c>
      <c r="AC74" s="481">
        <f aca="true" t="shared" si="59" ref="AC74:AC87">H74</f>
        <v>0.07768097</v>
      </c>
      <c r="AD74" s="481">
        <f aca="true" t="shared" si="60" ref="AD74:AD87">I74</f>
        <v>0.07768097</v>
      </c>
      <c r="AE74" s="481">
        <f aca="true" t="shared" si="61" ref="AE74:AE87">H74</f>
        <v>0.07768097</v>
      </c>
      <c r="AF74" s="481">
        <f aca="true" t="shared" si="62" ref="AF74:AF87">I74</f>
        <v>0.07768097</v>
      </c>
      <c r="AG74" s="206" t="s">
        <v>247</v>
      </c>
    </row>
    <row r="75" spans="1:33" s="5" customFormat="1" ht="47.25">
      <c r="A75" s="229" t="str">
        <f>1!A76</f>
        <v>1.4.2.23</v>
      </c>
      <c r="B75" s="120" t="str">
        <f>1!B76</f>
        <v>Строительство КЛ-0,4 кВ от РУ-0,4 кВ 2КТП-244 до ВРУ-14 в ЖК "Вишнёвый сад" (2-ая очередь), п.Иноземцево, L= 0,1 км (АВБбШв 4х120)</v>
      </c>
      <c r="C75" s="502" t="str">
        <f>1!C76</f>
        <v>G_Gelezno_ТР23</v>
      </c>
      <c r="D75" s="91" t="str">
        <f>2!D72</f>
        <v>П</v>
      </c>
      <c r="E75" s="91">
        <f>2!E72</f>
        <v>2017</v>
      </c>
      <c r="F75" s="91">
        <f>2!F72</f>
        <v>2017</v>
      </c>
      <c r="G75" s="91"/>
      <c r="H75" s="474">
        <f t="shared" si="33"/>
        <v>0.10803812</v>
      </c>
      <c r="I75" s="474">
        <f>2!L72</f>
        <v>0.10803812</v>
      </c>
      <c r="J75" s="91"/>
      <c r="K75" s="481">
        <f t="shared" si="54"/>
        <v>0.10803812</v>
      </c>
      <c r="L75" s="481"/>
      <c r="M75" s="481">
        <f t="shared" si="55"/>
        <v>0.05264536</v>
      </c>
      <c r="N75" s="481">
        <f t="shared" si="56"/>
        <v>0.05539276</v>
      </c>
      <c r="O75" s="481"/>
      <c r="P75" s="481">
        <f t="shared" si="35"/>
        <v>0.10803812</v>
      </c>
      <c r="Q75" s="481"/>
      <c r="R75" s="481">
        <f t="shared" si="34"/>
        <v>0.05264536</v>
      </c>
      <c r="S75" s="481">
        <f>0.05539276</f>
        <v>0.05539276</v>
      </c>
      <c r="T75" s="481"/>
      <c r="U75" s="121"/>
      <c r="V75" s="121"/>
      <c r="W75" s="121"/>
      <c r="X75" s="121"/>
      <c r="Y75" s="121"/>
      <c r="Z75" s="121"/>
      <c r="AA75" s="481">
        <f t="shared" si="57"/>
        <v>0.10803812</v>
      </c>
      <c r="AB75" s="481">
        <f t="shared" si="58"/>
        <v>0.10803812</v>
      </c>
      <c r="AC75" s="481">
        <f t="shared" si="59"/>
        <v>0.10803812</v>
      </c>
      <c r="AD75" s="481">
        <f t="shared" si="60"/>
        <v>0.10803812</v>
      </c>
      <c r="AE75" s="481">
        <f t="shared" si="61"/>
        <v>0.10803812</v>
      </c>
      <c r="AF75" s="481">
        <f t="shared" si="62"/>
        <v>0.10803812</v>
      </c>
      <c r="AG75" s="206" t="s">
        <v>247</v>
      </c>
    </row>
    <row r="76" spans="1:33" s="5" customFormat="1" ht="47.25">
      <c r="A76" s="229" t="str">
        <f>1!A77</f>
        <v>1.4.2.24</v>
      </c>
      <c r="B76" s="120" t="str">
        <f>1!B77</f>
        <v>Строительство КЛ-0,4 кВ от РУ-0,4 кВ 2КТП-244 до ВРУ-16 в ЖК "Вишнёвый сад" (2-ая очередь), п.Иноземцево, L= 0,11 км (АВБбШв 4х95)</v>
      </c>
      <c r="C76" s="502" t="str">
        <f>1!C77</f>
        <v>G_Gelezno_ТР24</v>
      </c>
      <c r="D76" s="91" t="str">
        <f>2!D73</f>
        <v>П</v>
      </c>
      <c r="E76" s="91">
        <f>2!E73</f>
        <v>2017</v>
      </c>
      <c r="F76" s="91">
        <f>2!F73</f>
        <v>2017</v>
      </c>
      <c r="G76" s="91"/>
      <c r="H76" s="474">
        <f t="shared" si="33"/>
        <v>0.11052751</v>
      </c>
      <c r="I76" s="474">
        <f>2!L73</f>
        <v>0.11052751</v>
      </c>
      <c r="J76" s="91"/>
      <c r="K76" s="481">
        <f t="shared" si="54"/>
        <v>0.11052751</v>
      </c>
      <c r="L76" s="481"/>
      <c r="M76" s="481">
        <f t="shared" si="55"/>
        <v>0.05518554999999999</v>
      </c>
      <c r="N76" s="481">
        <f t="shared" si="56"/>
        <v>0.05534196</v>
      </c>
      <c r="O76" s="481"/>
      <c r="P76" s="481">
        <f t="shared" si="35"/>
        <v>0.11052751</v>
      </c>
      <c r="Q76" s="481"/>
      <c r="R76" s="481">
        <f t="shared" si="34"/>
        <v>0.05518554999999999</v>
      </c>
      <c r="S76" s="481">
        <f>0.05534196</f>
        <v>0.05534196</v>
      </c>
      <c r="T76" s="481"/>
      <c r="U76" s="121"/>
      <c r="V76" s="121"/>
      <c r="W76" s="121"/>
      <c r="X76" s="121"/>
      <c r="Y76" s="121"/>
      <c r="Z76" s="121"/>
      <c r="AA76" s="481">
        <f t="shared" si="57"/>
        <v>0.11052751</v>
      </c>
      <c r="AB76" s="481">
        <f t="shared" si="58"/>
        <v>0.11052751</v>
      </c>
      <c r="AC76" s="481">
        <f t="shared" si="59"/>
        <v>0.11052751</v>
      </c>
      <c r="AD76" s="481">
        <f t="shared" si="60"/>
        <v>0.11052751</v>
      </c>
      <c r="AE76" s="481">
        <f t="shared" si="61"/>
        <v>0.11052751</v>
      </c>
      <c r="AF76" s="481">
        <f t="shared" si="62"/>
        <v>0.11052751</v>
      </c>
      <c r="AG76" s="206" t="s">
        <v>247</v>
      </c>
    </row>
    <row r="77" spans="1:33" s="5" customFormat="1" ht="47.25">
      <c r="A77" s="229" t="str">
        <f>1!A78</f>
        <v>1.4.2.25</v>
      </c>
      <c r="B77" s="120" t="str">
        <f>1!B78</f>
        <v>Строительство КЛ-0,4 кВ от РУ-0,4 кВ 2КТП-244 до ВРУ-9 в ЖК "Вишнёвый сад" (2-ая очередь), п.Иноземцево, L= 0,215 км (АВБбШв 4х120)</v>
      </c>
      <c r="C77" s="502" t="str">
        <f>1!C78</f>
        <v>G_Gelezno_ТР25</v>
      </c>
      <c r="D77" s="91" t="str">
        <f>2!D74</f>
        <v>П</v>
      </c>
      <c r="E77" s="91">
        <f>2!E74</f>
        <v>2017</v>
      </c>
      <c r="F77" s="91">
        <f>2!F74</f>
        <v>2017</v>
      </c>
      <c r="G77" s="91"/>
      <c r="H77" s="474">
        <f t="shared" si="33"/>
        <v>0.19531445</v>
      </c>
      <c r="I77" s="474">
        <f>2!L74</f>
        <v>0.19531445</v>
      </c>
      <c r="J77" s="91"/>
      <c r="K77" s="481">
        <f t="shared" si="54"/>
        <v>0.19531445</v>
      </c>
      <c r="L77" s="481"/>
      <c r="M77" s="481">
        <f t="shared" si="55"/>
        <v>0.08357491</v>
      </c>
      <c r="N77" s="481">
        <f t="shared" si="56"/>
        <v>0.11173954</v>
      </c>
      <c r="O77" s="481"/>
      <c r="P77" s="481">
        <f t="shared" si="35"/>
        <v>0.19531445</v>
      </c>
      <c r="Q77" s="481"/>
      <c r="R77" s="481">
        <f t="shared" si="34"/>
        <v>0.08357491</v>
      </c>
      <c r="S77" s="481">
        <v>0.11173954</v>
      </c>
      <c r="T77" s="481"/>
      <c r="U77" s="121"/>
      <c r="V77" s="121"/>
      <c r="W77" s="121"/>
      <c r="X77" s="121"/>
      <c r="Y77" s="121"/>
      <c r="Z77" s="121"/>
      <c r="AA77" s="481">
        <f t="shared" si="57"/>
        <v>0.19531445</v>
      </c>
      <c r="AB77" s="481">
        <f t="shared" si="58"/>
        <v>0.19531445</v>
      </c>
      <c r="AC77" s="481">
        <f t="shared" si="59"/>
        <v>0.19531445</v>
      </c>
      <c r="AD77" s="481">
        <f t="shared" si="60"/>
        <v>0.19531445</v>
      </c>
      <c r="AE77" s="481">
        <f t="shared" si="61"/>
        <v>0.19531445</v>
      </c>
      <c r="AF77" s="481">
        <f t="shared" si="62"/>
        <v>0.19531445</v>
      </c>
      <c r="AG77" s="206" t="s">
        <v>247</v>
      </c>
    </row>
    <row r="78" spans="1:33" s="5" customFormat="1" ht="47.25">
      <c r="A78" s="229" t="str">
        <f>1!A79</f>
        <v>1.4.2.26</v>
      </c>
      <c r="B78" s="120" t="str">
        <f>1!B79</f>
        <v>Строительство КЛ-0,4 кВ от ВРУ-1 МКЖД до ВРУ-2 МКЖД ул.Тихая,8, п.Иноземцево, L= 0,071 км (АВВГ 4х35)</v>
      </c>
      <c r="C78" s="502" t="str">
        <f>1!C79</f>
        <v>G_Gelezno_ТР26</v>
      </c>
      <c r="D78" s="91" t="str">
        <f>2!D75</f>
        <v>П</v>
      </c>
      <c r="E78" s="91">
        <f>2!E75</f>
        <v>2017</v>
      </c>
      <c r="F78" s="91">
        <f>2!F75</f>
        <v>2017</v>
      </c>
      <c r="G78" s="91"/>
      <c r="H78" s="474">
        <f t="shared" si="33"/>
        <v>0.02549964</v>
      </c>
      <c r="I78" s="474">
        <f>2!L75/1.18</f>
        <v>0.02549964</v>
      </c>
      <c r="J78" s="91"/>
      <c r="K78" s="481">
        <f t="shared" si="54"/>
        <v>0.02549964</v>
      </c>
      <c r="L78" s="481"/>
      <c r="M78" s="481">
        <f t="shared" si="55"/>
        <v>0.0064785412000000035</v>
      </c>
      <c r="N78" s="481">
        <f t="shared" si="56"/>
        <v>0.019021098799999997</v>
      </c>
      <c r="O78" s="481"/>
      <c r="P78" s="481">
        <f t="shared" si="35"/>
        <v>0.02549964</v>
      </c>
      <c r="Q78" s="481"/>
      <c r="R78" s="481">
        <f t="shared" si="34"/>
        <v>0.0064785412000000035</v>
      </c>
      <c r="S78" s="481">
        <f>0.00243548*7.81</f>
        <v>0.019021098799999997</v>
      </c>
      <c r="T78" s="481"/>
      <c r="U78" s="121"/>
      <c r="V78" s="121"/>
      <c r="W78" s="121"/>
      <c r="X78" s="121"/>
      <c r="Y78" s="121"/>
      <c r="Z78" s="121"/>
      <c r="AA78" s="481">
        <f t="shared" si="57"/>
        <v>0.02549964</v>
      </c>
      <c r="AB78" s="481">
        <f t="shared" si="58"/>
        <v>0.02549964</v>
      </c>
      <c r="AC78" s="481">
        <f t="shared" si="59"/>
        <v>0.02549964</v>
      </c>
      <c r="AD78" s="481">
        <f t="shared" si="60"/>
        <v>0.02549964</v>
      </c>
      <c r="AE78" s="481">
        <f t="shared" si="61"/>
        <v>0.02549964</v>
      </c>
      <c r="AF78" s="481">
        <f t="shared" si="62"/>
        <v>0.02549964</v>
      </c>
      <c r="AG78" s="206" t="s">
        <v>247</v>
      </c>
    </row>
    <row r="79" spans="1:33" s="5" customFormat="1" ht="47.25">
      <c r="A79" s="229" t="str">
        <f>1!A80</f>
        <v>1.4.2.27</v>
      </c>
      <c r="B79" s="120" t="str">
        <f>1!B80</f>
        <v>Строительство КЛ-0,4 кВ от ВРУ-2 МКЖД до ВРУ-3 МКЖД ул.Тихая,8, п.Иноземцево, L= 0,025 км (АВВГ 4х35)</v>
      </c>
      <c r="C79" s="502" t="str">
        <f>1!C80</f>
        <v>G_Gelezno_ТР27</v>
      </c>
      <c r="D79" s="91" t="str">
        <f>2!D76</f>
        <v>П</v>
      </c>
      <c r="E79" s="91">
        <f>2!E76</f>
        <v>2017</v>
      </c>
      <c r="F79" s="91">
        <f>2!F76</f>
        <v>2017</v>
      </c>
      <c r="G79" s="91"/>
      <c r="H79" s="474">
        <f t="shared" si="33"/>
        <v>0.01096922</v>
      </c>
      <c r="I79" s="474">
        <f>2!L76/1.18</f>
        <v>0.01096922</v>
      </c>
      <c r="J79" s="91"/>
      <c r="K79" s="481">
        <f t="shared" si="54"/>
        <v>0.01096922</v>
      </c>
      <c r="L79" s="481"/>
      <c r="M79" s="481">
        <f t="shared" si="55"/>
        <v>0.00419795</v>
      </c>
      <c r="N79" s="481">
        <f t="shared" si="56"/>
        <v>0.00677127</v>
      </c>
      <c r="O79" s="481"/>
      <c r="P79" s="481">
        <f t="shared" si="35"/>
        <v>0.01096922</v>
      </c>
      <c r="Q79" s="481"/>
      <c r="R79" s="481">
        <f t="shared" si="34"/>
        <v>0.00419795</v>
      </c>
      <c r="S79" s="481">
        <f>0.000867*7.81</f>
        <v>0.00677127</v>
      </c>
      <c r="T79" s="481"/>
      <c r="U79" s="121"/>
      <c r="V79" s="121"/>
      <c r="W79" s="121"/>
      <c r="X79" s="121"/>
      <c r="Y79" s="121"/>
      <c r="Z79" s="121"/>
      <c r="AA79" s="481">
        <f t="shared" si="57"/>
        <v>0.01096922</v>
      </c>
      <c r="AB79" s="481">
        <f t="shared" si="58"/>
        <v>0.01096922</v>
      </c>
      <c r="AC79" s="481">
        <f t="shared" si="59"/>
        <v>0.01096922</v>
      </c>
      <c r="AD79" s="481">
        <f t="shared" si="60"/>
        <v>0.01096922</v>
      </c>
      <c r="AE79" s="481">
        <f t="shared" si="61"/>
        <v>0.01096922</v>
      </c>
      <c r="AF79" s="481">
        <f t="shared" si="62"/>
        <v>0.01096922</v>
      </c>
      <c r="AG79" s="206" t="s">
        <v>247</v>
      </c>
    </row>
    <row r="80" spans="1:33" s="5" customFormat="1" ht="47.25">
      <c r="A80" s="229" t="str">
        <f>1!A81</f>
        <v>1.4.2.28</v>
      </c>
      <c r="B80" s="120" t="str">
        <f>1!B81</f>
        <v>Строительство КЛ-0,4 кВ от ВРУ-3 МКЖД до РУ-0,4 кВ КТП-248 ул.Тихая,8, п.Иноземцево, L= 0,107 км (АВВГ 4х35)</v>
      </c>
      <c r="C80" s="502" t="str">
        <f>1!C81</f>
        <v>G_Gelezno_ТР28</v>
      </c>
      <c r="D80" s="91" t="str">
        <f>2!D77</f>
        <v>П</v>
      </c>
      <c r="E80" s="91">
        <f>2!E77</f>
        <v>2017</v>
      </c>
      <c r="F80" s="91">
        <f>2!F77</f>
        <v>2017</v>
      </c>
      <c r="G80" s="91"/>
      <c r="H80" s="474">
        <f t="shared" si="33"/>
        <v>0.04121472</v>
      </c>
      <c r="I80" s="474">
        <f>2!L77/1.18</f>
        <v>0.04121472</v>
      </c>
      <c r="J80" s="91"/>
      <c r="K80" s="481">
        <f t="shared" si="54"/>
        <v>0.04121472</v>
      </c>
      <c r="L80" s="481"/>
      <c r="M80" s="481">
        <f t="shared" si="55"/>
        <v>0.013709071500000006</v>
      </c>
      <c r="N80" s="481">
        <f t="shared" si="56"/>
        <v>0.027505648499999997</v>
      </c>
      <c r="O80" s="481"/>
      <c r="P80" s="481">
        <f t="shared" si="35"/>
        <v>0.04121472</v>
      </c>
      <c r="Q80" s="481"/>
      <c r="R80" s="481">
        <f t="shared" si="34"/>
        <v>0.013709071500000006</v>
      </c>
      <c r="S80" s="481">
        <f>0.00352185*7.81</f>
        <v>0.027505648499999997</v>
      </c>
      <c r="T80" s="481"/>
      <c r="U80" s="121"/>
      <c r="V80" s="121"/>
      <c r="W80" s="121"/>
      <c r="X80" s="121"/>
      <c r="Y80" s="121"/>
      <c r="Z80" s="121"/>
      <c r="AA80" s="481">
        <f t="shared" si="57"/>
        <v>0.04121472</v>
      </c>
      <c r="AB80" s="481">
        <f t="shared" si="58"/>
        <v>0.04121472</v>
      </c>
      <c r="AC80" s="481">
        <f t="shared" si="59"/>
        <v>0.04121472</v>
      </c>
      <c r="AD80" s="481">
        <f t="shared" si="60"/>
        <v>0.04121472</v>
      </c>
      <c r="AE80" s="481">
        <f t="shared" si="61"/>
        <v>0.04121472</v>
      </c>
      <c r="AF80" s="481">
        <f t="shared" si="62"/>
        <v>0.04121472</v>
      </c>
      <c r="AG80" s="206" t="s">
        <v>247</v>
      </c>
    </row>
    <row r="81" spans="1:33" s="5" customFormat="1" ht="47.25">
      <c r="A81" s="229" t="str">
        <f>1!A82</f>
        <v>1.4.2.29</v>
      </c>
      <c r="B81" s="120" t="str">
        <f>1!B82</f>
        <v>Строительство КЛ-0,4 кВ от РУ-0,4 кВ КТП-248 до ВРУ-1 МКЖД ул.Тихая,8, п.Иноземцево, L= 0,102 км (АВВГ 4х35)</v>
      </c>
      <c r="C81" s="502" t="str">
        <f>1!C82</f>
        <v>G_Gelezno_ТР29</v>
      </c>
      <c r="D81" s="91" t="str">
        <f>2!D78</f>
        <v>П</v>
      </c>
      <c r="E81" s="91">
        <f>2!E78</f>
        <v>2017</v>
      </c>
      <c r="F81" s="91">
        <f>2!F78</f>
        <v>2017</v>
      </c>
      <c r="G81" s="91"/>
      <c r="H81" s="474">
        <f t="shared" si="33"/>
        <v>0.03955251</v>
      </c>
      <c r="I81" s="474">
        <f>2!L78/1.18</f>
        <v>0.03955251</v>
      </c>
      <c r="J81" s="91"/>
      <c r="K81" s="481">
        <f t="shared" si="54"/>
        <v>0.03955251</v>
      </c>
      <c r="L81" s="481"/>
      <c r="M81" s="481">
        <f t="shared" si="55"/>
        <v>0.0133426967</v>
      </c>
      <c r="N81" s="481">
        <f t="shared" si="56"/>
        <v>0.0262098133</v>
      </c>
      <c r="O81" s="481"/>
      <c r="P81" s="481">
        <f t="shared" si="35"/>
        <v>0.03955251</v>
      </c>
      <c r="Q81" s="481"/>
      <c r="R81" s="481">
        <f t="shared" si="34"/>
        <v>0.0133426967</v>
      </c>
      <c r="S81" s="481">
        <f>0.00335593*7.81</f>
        <v>0.0262098133</v>
      </c>
      <c r="T81" s="481"/>
      <c r="U81" s="121"/>
      <c r="V81" s="121"/>
      <c r="W81" s="121"/>
      <c r="X81" s="121"/>
      <c r="Y81" s="121"/>
      <c r="Z81" s="121"/>
      <c r="AA81" s="481">
        <f t="shared" si="57"/>
        <v>0.03955251</v>
      </c>
      <c r="AB81" s="481">
        <f t="shared" si="58"/>
        <v>0.03955251</v>
      </c>
      <c r="AC81" s="481">
        <f t="shared" si="59"/>
        <v>0.03955251</v>
      </c>
      <c r="AD81" s="481">
        <f t="shared" si="60"/>
        <v>0.03955251</v>
      </c>
      <c r="AE81" s="481">
        <f t="shared" si="61"/>
        <v>0.03955251</v>
      </c>
      <c r="AF81" s="481">
        <f t="shared" si="62"/>
        <v>0.03955251</v>
      </c>
      <c r="AG81" s="206" t="s">
        <v>247</v>
      </c>
    </row>
    <row r="82" spans="1:33" s="5" customFormat="1" ht="47.25">
      <c r="A82" s="229" t="str">
        <f>1!A83</f>
        <v>1.4.2.30</v>
      </c>
      <c r="B82" s="120" t="str">
        <f>1!B83</f>
        <v>Строительство КЛ-0,4 кВ от РУ-0,4 кВ КТП-105 до РЩ МКЖД ул.Октябрьская,96 Б, г.Железноводск, L= 0,186 км (АВБбШВ 4х95)</v>
      </c>
      <c r="C82" s="502" t="str">
        <f>1!C83</f>
        <v>G_Gelezno_ТР30</v>
      </c>
      <c r="D82" s="91" t="str">
        <f>2!D79</f>
        <v>П</v>
      </c>
      <c r="E82" s="91">
        <f>2!E79</f>
        <v>2017</v>
      </c>
      <c r="F82" s="91">
        <f>2!F79</f>
        <v>2017</v>
      </c>
      <c r="G82" s="91"/>
      <c r="H82" s="474">
        <f t="shared" si="33"/>
        <v>0.13003376</v>
      </c>
      <c r="I82" s="474">
        <f>2!L79/1.18</f>
        <v>0.13003376</v>
      </c>
      <c r="J82" s="91"/>
      <c r="K82" s="481">
        <f t="shared" si="54"/>
        <v>0.13003376</v>
      </c>
      <c r="L82" s="481"/>
      <c r="M82" s="481">
        <f t="shared" si="55"/>
        <v>0.045981209999999995</v>
      </c>
      <c r="N82" s="481">
        <f t="shared" si="56"/>
        <v>0.08405255</v>
      </c>
      <c r="O82" s="481"/>
      <c r="P82" s="481">
        <f t="shared" si="35"/>
        <v>0.13003376</v>
      </c>
      <c r="Q82" s="481"/>
      <c r="R82" s="481">
        <f t="shared" si="34"/>
        <v>0.045981209999999995</v>
      </c>
      <c r="S82" s="481">
        <f>0.08405255</f>
        <v>0.08405255</v>
      </c>
      <c r="T82" s="481"/>
      <c r="U82" s="121"/>
      <c r="V82" s="121"/>
      <c r="W82" s="121"/>
      <c r="X82" s="121"/>
      <c r="Y82" s="121"/>
      <c r="Z82" s="121"/>
      <c r="AA82" s="481">
        <f t="shared" si="57"/>
        <v>0.13003376</v>
      </c>
      <c r="AB82" s="481">
        <f t="shared" si="58"/>
        <v>0.13003376</v>
      </c>
      <c r="AC82" s="481">
        <f t="shared" si="59"/>
        <v>0.13003376</v>
      </c>
      <c r="AD82" s="481">
        <f t="shared" si="60"/>
        <v>0.13003376</v>
      </c>
      <c r="AE82" s="481">
        <f t="shared" si="61"/>
        <v>0.13003376</v>
      </c>
      <c r="AF82" s="481">
        <f t="shared" si="62"/>
        <v>0.13003376</v>
      </c>
      <c r="AG82" s="206" t="s">
        <v>247</v>
      </c>
    </row>
    <row r="83" spans="1:33" s="5" customFormat="1" ht="47.25">
      <c r="A83" s="229" t="str">
        <f>1!A84</f>
        <v>1.4.2.31</v>
      </c>
      <c r="B83" s="120" t="str">
        <f>1!B84</f>
        <v>Строительство КЛ-0,4 кВ от ВРУ-12 до ВРУ-2 в ЖК "Вишнёвый сад" (2-ая очередь), п.Иноземцево, L= 0,1 км (АВБбШВ 4х150)</v>
      </c>
      <c r="C83" s="502" t="str">
        <f>1!C84</f>
        <v>G_Gelezno_ТР31</v>
      </c>
      <c r="D83" s="91" t="str">
        <f>2!D80</f>
        <v>П</v>
      </c>
      <c r="E83" s="91">
        <f>2!E80</f>
        <v>2017</v>
      </c>
      <c r="F83" s="91">
        <f>2!F80</f>
        <v>2017</v>
      </c>
      <c r="G83" s="91"/>
      <c r="H83" s="474">
        <f t="shared" si="33"/>
        <v>0.11731838</v>
      </c>
      <c r="I83" s="474">
        <f>2!L80</f>
        <v>0.11731838</v>
      </c>
      <c r="J83" s="91"/>
      <c r="K83" s="481">
        <f t="shared" si="54"/>
        <v>0.11731838</v>
      </c>
      <c r="L83" s="481"/>
      <c r="M83" s="481">
        <f t="shared" si="55"/>
        <v>0.047359</v>
      </c>
      <c r="N83" s="481">
        <f t="shared" si="56"/>
        <v>0.06995938</v>
      </c>
      <c r="O83" s="481"/>
      <c r="P83" s="481">
        <f t="shared" si="35"/>
        <v>0.11731838</v>
      </c>
      <c r="Q83" s="481"/>
      <c r="R83" s="481">
        <f t="shared" si="34"/>
        <v>0.047359</v>
      </c>
      <c r="S83" s="481">
        <f>0.06995938</f>
        <v>0.06995938</v>
      </c>
      <c r="T83" s="481"/>
      <c r="U83" s="121"/>
      <c r="V83" s="121"/>
      <c r="W83" s="121"/>
      <c r="X83" s="121"/>
      <c r="Y83" s="121"/>
      <c r="Z83" s="121"/>
      <c r="AA83" s="481">
        <f t="shared" si="57"/>
        <v>0.11731838</v>
      </c>
      <c r="AB83" s="481">
        <f t="shared" si="58"/>
        <v>0.11731838</v>
      </c>
      <c r="AC83" s="481">
        <f t="shared" si="59"/>
        <v>0.11731838</v>
      </c>
      <c r="AD83" s="481">
        <f t="shared" si="60"/>
        <v>0.11731838</v>
      </c>
      <c r="AE83" s="481">
        <f t="shared" si="61"/>
        <v>0.11731838</v>
      </c>
      <c r="AF83" s="481">
        <f t="shared" si="62"/>
        <v>0.11731838</v>
      </c>
      <c r="AG83" s="206" t="s">
        <v>247</v>
      </c>
    </row>
    <row r="84" spans="1:33" s="5" customFormat="1" ht="47.25">
      <c r="A84" s="229" t="str">
        <f>1!A85</f>
        <v>1.4.2.32</v>
      </c>
      <c r="B84" s="120" t="str">
        <f>1!B85</f>
        <v>Строительство КЛ-0,4кВ от ВРУ-16 до ВРУ-10 в ЖК"Вишнёвый сад" (2-ая очередь), п.Иноземцево, L= 0,035 км (АВБбШВ 4х95)</v>
      </c>
      <c r="C84" s="502" t="str">
        <f>1!C85</f>
        <v>G_Gelezno_ТР32</v>
      </c>
      <c r="D84" s="91" t="str">
        <f>2!D81</f>
        <v>П</v>
      </c>
      <c r="E84" s="91">
        <f>2!E81</f>
        <v>2017</v>
      </c>
      <c r="F84" s="91">
        <f>2!F81</f>
        <v>2017</v>
      </c>
      <c r="G84" s="91"/>
      <c r="H84" s="474">
        <f t="shared" si="33"/>
        <v>0.04696934</v>
      </c>
      <c r="I84" s="474">
        <f>2!L81</f>
        <v>0.04696934</v>
      </c>
      <c r="J84" s="91"/>
      <c r="K84" s="481">
        <f t="shared" si="54"/>
        <v>0.04696934</v>
      </c>
      <c r="L84" s="481"/>
      <c r="M84" s="481">
        <f t="shared" si="55"/>
        <v>0.02926663</v>
      </c>
      <c r="N84" s="481">
        <f t="shared" si="56"/>
        <v>0.01770271</v>
      </c>
      <c r="O84" s="481"/>
      <c r="P84" s="481">
        <f t="shared" si="35"/>
        <v>0.04696934</v>
      </c>
      <c r="Q84" s="481"/>
      <c r="R84" s="481">
        <f t="shared" si="34"/>
        <v>0.02926663</v>
      </c>
      <c r="S84" s="481">
        <f>0.01770271</f>
        <v>0.01770271</v>
      </c>
      <c r="T84" s="481"/>
      <c r="U84" s="121"/>
      <c r="V84" s="121"/>
      <c r="W84" s="121"/>
      <c r="X84" s="121"/>
      <c r="Y84" s="121"/>
      <c r="Z84" s="121"/>
      <c r="AA84" s="481">
        <f t="shared" si="57"/>
        <v>0.04696934</v>
      </c>
      <c r="AB84" s="481">
        <f t="shared" si="58"/>
        <v>0.04696934</v>
      </c>
      <c r="AC84" s="481">
        <f t="shared" si="59"/>
        <v>0.04696934</v>
      </c>
      <c r="AD84" s="481">
        <f t="shared" si="60"/>
        <v>0.04696934</v>
      </c>
      <c r="AE84" s="481">
        <f t="shared" si="61"/>
        <v>0.04696934</v>
      </c>
      <c r="AF84" s="481">
        <f t="shared" si="62"/>
        <v>0.04696934</v>
      </c>
      <c r="AG84" s="206" t="s">
        <v>247</v>
      </c>
    </row>
    <row r="85" spans="1:33" s="5" customFormat="1" ht="47.25">
      <c r="A85" s="229" t="str">
        <f>1!A86</f>
        <v>1.4.2.33</v>
      </c>
      <c r="B85" s="120" t="str">
        <f>1!B86</f>
        <v>Строительство КЛ-0,4 кВ от опоры ВЛ-0,4 кВ № 21 до ВРУ-1 в ЖК "Вишнёвый сад" (2-ая очередь), п.Иноземцево, L= 0,05 км (АВБбШВ 4х120)</v>
      </c>
      <c r="C85" s="502" t="str">
        <f>1!C86</f>
        <v>G_Gelezno_ТР33</v>
      </c>
      <c r="D85" s="91" t="str">
        <f>2!D82</f>
        <v>П</v>
      </c>
      <c r="E85" s="91">
        <f>2!E82</f>
        <v>2017</v>
      </c>
      <c r="F85" s="91">
        <f>2!F82</f>
        <v>2017</v>
      </c>
      <c r="G85" s="91"/>
      <c r="H85" s="474">
        <f t="shared" si="33"/>
        <v>0.06008357</v>
      </c>
      <c r="I85" s="474">
        <f>2!L82</f>
        <v>0.06008357</v>
      </c>
      <c r="J85" s="91"/>
      <c r="K85" s="481">
        <f t="shared" si="54"/>
        <v>0.06008357</v>
      </c>
      <c r="L85" s="481"/>
      <c r="M85" s="481">
        <f t="shared" si="55"/>
        <v>0.03345485</v>
      </c>
      <c r="N85" s="481">
        <f t="shared" si="56"/>
        <v>0.02662872</v>
      </c>
      <c r="O85" s="481"/>
      <c r="P85" s="481">
        <f t="shared" si="35"/>
        <v>0.06008357</v>
      </c>
      <c r="Q85" s="481"/>
      <c r="R85" s="481">
        <f t="shared" si="34"/>
        <v>0.03345485</v>
      </c>
      <c r="S85" s="481">
        <f>0.02662872</f>
        <v>0.02662872</v>
      </c>
      <c r="T85" s="481"/>
      <c r="U85" s="121"/>
      <c r="V85" s="121"/>
      <c r="W85" s="121"/>
      <c r="X85" s="121"/>
      <c r="Y85" s="121"/>
      <c r="Z85" s="121"/>
      <c r="AA85" s="481">
        <f t="shared" si="57"/>
        <v>0.06008357</v>
      </c>
      <c r="AB85" s="481">
        <f t="shared" si="58"/>
        <v>0.06008357</v>
      </c>
      <c r="AC85" s="481">
        <f t="shared" si="59"/>
        <v>0.06008357</v>
      </c>
      <c r="AD85" s="481">
        <f t="shared" si="60"/>
        <v>0.06008357</v>
      </c>
      <c r="AE85" s="481">
        <f t="shared" si="61"/>
        <v>0.06008357</v>
      </c>
      <c r="AF85" s="481">
        <f t="shared" si="62"/>
        <v>0.06008357</v>
      </c>
      <c r="AG85" s="206" t="s">
        <v>247</v>
      </c>
    </row>
    <row r="86" spans="1:33" s="5" customFormat="1" ht="47.25">
      <c r="A86" s="229" t="str">
        <f>1!A87</f>
        <v>1.4.2.34</v>
      </c>
      <c r="B86" s="120" t="str">
        <f>1!B87</f>
        <v>Строительство КЛ-0,4 кВ от РУ-0,4 кВ 2КТП-244 до ВРУ-12 в ЖК "Вишнёвый сад" (2-ая очередь), п.Иноземцево, L= 0,17 км (АВБбШВ 4х185) км</v>
      </c>
      <c r="C86" s="502" t="str">
        <f>1!C87</f>
        <v>G_Gelezno_ТР34</v>
      </c>
      <c r="D86" s="91" t="str">
        <f>2!D83</f>
        <v>П</v>
      </c>
      <c r="E86" s="91">
        <f>2!E83</f>
        <v>2017</v>
      </c>
      <c r="F86" s="91">
        <f>2!F83</f>
        <v>2017</v>
      </c>
      <c r="G86" s="91"/>
      <c r="H86" s="474">
        <f t="shared" si="33"/>
        <v>0.22782302</v>
      </c>
      <c r="I86" s="474">
        <f>2!L83</f>
        <v>0.22782302</v>
      </c>
      <c r="J86" s="91"/>
      <c r="K86" s="481">
        <f t="shared" si="54"/>
        <v>0.22782302</v>
      </c>
      <c r="L86" s="481"/>
      <c r="M86" s="481">
        <f t="shared" si="55"/>
        <v>0.07977463999999998</v>
      </c>
      <c r="N86" s="481">
        <f t="shared" si="56"/>
        <v>0.14804838</v>
      </c>
      <c r="O86" s="481"/>
      <c r="P86" s="481">
        <f t="shared" si="35"/>
        <v>0.22782302</v>
      </c>
      <c r="Q86" s="481"/>
      <c r="R86" s="481">
        <f t="shared" si="34"/>
        <v>0.07977463999999998</v>
      </c>
      <c r="S86" s="481">
        <f>0.14804838</f>
        <v>0.14804838</v>
      </c>
      <c r="T86" s="481"/>
      <c r="U86" s="121"/>
      <c r="V86" s="121"/>
      <c r="W86" s="121"/>
      <c r="X86" s="121"/>
      <c r="Y86" s="121"/>
      <c r="Z86" s="121"/>
      <c r="AA86" s="481">
        <f t="shared" si="57"/>
        <v>0.22782302</v>
      </c>
      <c r="AB86" s="481">
        <f t="shared" si="58"/>
        <v>0.22782302</v>
      </c>
      <c r="AC86" s="481">
        <f t="shared" si="59"/>
        <v>0.22782302</v>
      </c>
      <c r="AD86" s="481">
        <f t="shared" si="60"/>
        <v>0.22782302</v>
      </c>
      <c r="AE86" s="481">
        <f t="shared" si="61"/>
        <v>0.22782302</v>
      </c>
      <c r="AF86" s="481">
        <f t="shared" si="62"/>
        <v>0.22782302</v>
      </c>
      <c r="AG86" s="206" t="s">
        <v>247</v>
      </c>
    </row>
    <row r="87" spans="1:33" s="5" customFormat="1" ht="47.25">
      <c r="A87" s="229" t="str">
        <f>1!A88</f>
        <v>1.4.2.35</v>
      </c>
      <c r="B87" s="120" t="str">
        <f>1!B88</f>
        <v>Строительство КЛ-0,4 кВ от РУ-0,4 кВ 2КТП-244 до ВРУ-15 в ЖК "Вишнёвый сад" (2-ая очередь), п.Иноземцево, L= 0,08 км (АВБбШВ 4х95)</v>
      </c>
      <c r="C87" s="502" t="str">
        <f>1!C88</f>
        <v>G_Gelezno_ТР35</v>
      </c>
      <c r="D87" s="91" t="str">
        <f>2!D84</f>
        <v>П</v>
      </c>
      <c r="E87" s="91">
        <f>2!E84</f>
        <v>2017</v>
      </c>
      <c r="F87" s="91">
        <f>2!F84</f>
        <v>2017</v>
      </c>
      <c r="G87" s="91"/>
      <c r="H87" s="474">
        <f t="shared" si="33"/>
        <v>0.08915185</v>
      </c>
      <c r="I87" s="474">
        <f>2!L84</f>
        <v>0.08915185</v>
      </c>
      <c r="J87" s="91"/>
      <c r="K87" s="481">
        <f t="shared" si="54"/>
        <v>0.08915185</v>
      </c>
      <c r="L87" s="481"/>
      <c r="M87" s="481">
        <f t="shared" si="55"/>
        <v>0.04715898</v>
      </c>
      <c r="N87" s="481">
        <f t="shared" si="56"/>
        <v>0.04199287</v>
      </c>
      <c r="O87" s="481"/>
      <c r="P87" s="481">
        <f t="shared" si="35"/>
        <v>0.08915185</v>
      </c>
      <c r="Q87" s="481"/>
      <c r="R87" s="481">
        <f t="shared" si="34"/>
        <v>0.04715898</v>
      </c>
      <c r="S87" s="481">
        <f>0.04199287</f>
        <v>0.04199287</v>
      </c>
      <c r="T87" s="481"/>
      <c r="U87" s="121"/>
      <c r="V87" s="121"/>
      <c r="W87" s="121"/>
      <c r="X87" s="121"/>
      <c r="Y87" s="121"/>
      <c r="Z87" s="121"/>
      <c r="AA87" s="481">
        <f t="shared" si="57"/>
        <v>0.08915185</v>
      </c>
      <c r="AB87" s="481">
        <f t="shared" si="58"/>
        <v>0.08915185</v>
      </c>
      <c r="AC87" s="481">
        <f t="shared" si="59"/>
        <v>0.08915185</v>
      </c>
      <c r="AD87" s="481">
        <f t="shared" si="60"/>
        <v>0.08915185</v>
      </c>
      <c r="AE87" s="481">
        <f t="shared" si="61"/>
        <v>0.08915185</v>
      </c>
      <c r="AF87" s="481">
        <f t="shared" si="62"/>
        <v>0.08915185</v>
      </c>
      <c r="AG87" s="206" t="s">
        <v>247</v>
      </c>
    </row>
    <row r="88" spans="1:33" s="5" customFormat="1" ht="63">
      <c r="A88" s="229" t="str">
        <f>1!A89</f>
        <v>1.4.2.36</v>
      </c>
      <c r="B88" s="120" t="str">
        <f>1!B89</f>
        <v>Строительство ВЛ-0,4 кВ от РУ-0,4 кВ КТП-241 ЖК "Вишнёвый сад" (2-ая очередь), п.Иноземцево, СИП-2 3х150+1х95 - 0,204 км СИП-2 3х120+1х95 - 0,275 км и СИП-2 3х95+1х70 - 0,408 км</v>
      </c>
      <c r="C88" s="502" t="str">
        <f>1!C89</f>
        <v>G_Gelezno_ТР36</v>
      </c>
      <c r="D88" s="91" t="str">
        <f>2!D85</f>
        <v>П</v>
      </c>
      <c r="E88" s="91">
        <f>2!E85</f>
        <v>2017</v>
      </c>
      <c r="F88" s="91">
        <f>2!F85</f>
        <v>2017</v>
      </c>
      <c r="G88" s="91"/>
      <c r="H88" s="474">
        <f t="shared" si="33"/>
        <v>1.23239373</v>
      </c>
      <c r="I88" s="474">
        <f>2!L85</f>
        <v>1.23239373</v>
      </c>
      <c r="J88" s="91"/>
      <c r="K88" s="481">
        <f>L88+M88+N88+O88</f>
        <v>1.23239373</v>
      </c>
      <c r="L88" s="481"/>
      <c r="M88" s="481">
        <f>R88</f>
        <v>0.2347944702</v>
      </c>
      <c r="N88" s="481">
        <f>S88</f>
        <v>0.9975992598000001</v>
      </c>
      <c r="O88" s="481"/>
      <c r="P88" s="481">
        <f t="shared" si="35"/>
        <v>1.23239373</v>
      </c>
      <c r="Q88" s="481"/>
      <c r="R88" s="481">
        <f t="shared" si="34"/>
        <v>0.2347944702</v>
      </c>
      <c r="S88" s="481">
        <f>0.12773358*7.81</f>
        <v>0.9975992598000001</v>
      </c>
      <c r="T88" s="481"/>
      <c r="U88" s="121"/>
      <c r="V88" s="121"/>
      <c r="W88" s="121"/>
      <c r="X88" s="121"/>
      <c r="Y88" s="121"/>
      <c r="Z88" s="121"/>
      <c r="AA88" s="481">
        <f>H88</f>
        <v>1.23239373</v>
      </c>
      <c r="AB88" s="481">
        <f>I88</f>
        <v>1.23239373</v>
      </c>
      <c r="AC88" s="481">
        <f>H88</f>
        <v>1.23239373</v>
      </c>
      <c r="AD88" s="481">
        <f>I88</f>
        <v>1.23239373</v>
      </c>
      <c r="AE88" s="481">
        <f>H88</f>
        <v>1.23239373</v>
      </c>
      <c r="AF88" s="481">
        <f>I88</f>
        <v>1.23239373</v>
      </c>
      <c r="AG88" s="206" t="s">
        <v>247</v>
      </c>
    </row>
    <row r="89" spans="1:33" s="2" customFormat="1" ht="47.25">
      <c r="A89" s="229" t="str">
        <f>1!A90</f>
        <v>1.4.2.37</v>
      </c>
      <c r="B89" s="120" t="str">
        <f>1!B90</f>
        <v>Строительство КТП-249 пер.Промышленный,24, п.Иноземцево (ТМГ-630 кВА)(Линия 2), L=0,143 км</v>
      </c>
      <c r="C89" s="502" t="str">
        <f>1!C90</f>
        <v>G_Gelezno_ТР37</v>
      </c>
      <c r="D89" s="91" t="str">
        <f>2!D86</f>
        <v>П</v>
      </c>
      <c r="E89" s="91">
        <f>2!E86</f>
        <v>2017</v>
      </c>
      <c r="F89" s="91">
        <f>2!F86</f>
        <v>2017</v>
      </c>
      <c r="G89" s="91"/>
      <c r="H89" s="474">
        <f t="shared" si="33"/>
        <v>1.42304536</v>
      </c>
      <c r="I89" s="474">
        <f>2!L86/1.18</f>
        <v>1.42304536</v>
      </c>
      <c r="J89" s="91"/>
      <c r="K89" s="481">
        <f>L89+M89+N89+O89</f>
        <v>1.42304536</v>
      </c>
      <c r="L89" s="481"/>
      <c r="M89" s="481">
        <f>R89</f>
        <v>0.2851199499999999</v>
      </c>
      <c r="N89" s="481">
        <f>S89</f>
        <v>1.13792541</v>
      </c>
      <c r="O89" s="481"/>
      <c r="P89" s="481">
        <f t="shared" si="35"/>
        <v>1.42304536</v>
      </c>
      <c r="Q89" s="481"/>
      <c r="R89" s="481">
        <f t="shared" si="34"/>
        <v>0.2851199499999999</v>
      </c>
      <c r="S89" s="481">
        <f>1.13792541</f>
        <v>1.13792541</v>
      </c>
      <c r="T89" s="481"/>
      <c r="U89" s="121"/>
      <c r="V89" s="121"/>
      <c r="W89" s="121"/>
      <c r="X89" s="121"/>
      <c r="Y89" s="121"/>
      <c r="Z89" s="121"/>
      <c r="AA89" s="481">
        <f>H89</f>
        <v>1.42304536</v>
      </c>
      <c r="AB89" s="481">
        <f>I89</f>
        <v>1.42304536</v>
      </c>
      <c r="AC89" s="481">
        <f>H89</f>
        <v>1.42304536</v>
      </c>
      <c r="AD89" s="481">
        <f>I89</f>
        <v>1.42304536</v>
      </c>
      <c r="AE89" s="481">
        <f>H89</f>
        <v>1.42304536</v>
      </c>
      <c r="AF89" s="481">
        <f>I89</f>
        <v>1.42304536</v>
      </c>
      <c r="AG89" s="206" t="s">
        <v>247</v>
      </c>
    </row>
    <row r="90" spans="1:33" s="2" customFormat="1" ht="8.25" customHeight="1" thickBot="1">
      <c r="A90" s="231"/>
      <c r="B90" s="210"/>
      <c r="C90" s="210"/>
      <c r="D90" s="211"/>
      <c r="E90" s="211"/>
      <c r="F90" s="211"/>
      <c r="G90" s="211"/>
      <c r="H90" s="475"/>
      <c r="I90" s="475"/>
      <c r="J90" s="211"/>
      <c r="K90" s="483"/>
      <c r="L90" s="483"/>
      <c r="M90" s="483"/>
      <c r="N90" s="483"/>
      <c r="O90" s="483"/>
      <c r="P90" s="484"/>
      <c r="Q90" s="484"/>
      <c r="R90" s="484"/>
      <c r="S90" s="484"/>
      <c r="T90" s="484"/>
      <c r="U90" s="212"/>
      <c r="V90" s="212"/>
      <c r="W90" s="212"/>
      <c r="X90" s="212"/>
      <c r="Y90" s="212"/>
      <c r="Z90" s="212"/>
      <c r="AA90" s="212"/>
      <c r="AB90" s="212"/>
      <c r="AC90" s="212"/>
      <c r="AD90" s="212"/>
      <c r="AE90" s="212"/>
      <c r="AF90" s="212"/>
      <c r="AG90" s="215"/>
    </row>
    <row r="91" spans="1:33" s="2" customFormat="1" ht="29.25" customHeight="1">
      <c r="A91" s="224"/>
      <c r="B91" s="225"/>
      <c r="C91" s="225"/>
      <c r="D91" s="226"/>
      <c r="E91" s="226"/>
      <c r="F91" s="226"/>
      <c r="G91" s="226"/>
      <c r="H91" s="476"/>
      <c r="I91" s="476"/>
      <c r="J91" s="226"/>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5"/>
    </row>
    <row r="92" spans="1:33" s="2" customFormat="1" ht="29.25" customHeight="1">
      <c r="A92" s="224"/>
      <c r="B92" s="225"/>
      <c r="C92" s="225"/>
      <c r="D92" s="226"/>
      <c r="E92" s="226"/>
      <c r="F92" s="226"/>
      <c r="G92" s="226"/>
      <c r="H92" s="476"/>
      <c r="I92" s="476"/>
      <c r="J92" s="226"/>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5"/>
    </row>
    <row r="93" spans="1:33" s="2" customFormat="1" ht="29.25" customHeight="1">
      <c r="A93" s="224"/>
      <c r="B93" s="585" t="s">
        <v>595</v>
      </c>
      <c r="C93" s="585"/>
      <c r="D93" s="585"/>
      <c r="E93" s="585"/>
      <c r="F93" s="585"/>
      <c r="G93" s="585"/>
      <c r="H93" s="585"/>
      <c r="I93" s="585"/>
      <c r="J93" s="585"/>
      <c r="K93" s="585"/>
      <c r="L93" s="585"/>
      <c r="M93" s="585"/>
      <c r="N93" s="585"/>
      <c r="O93" s="585"/>
      <c r="P93" s="585"/>
      <c r="Q93" s="585"/>
      <c r="R93" s="585"/>
      <c r="S93" s="585"/>
      <c r="T93" s="585"/>
      <c r="U93" s="585"/>
      <c r="V93" s="585"/>
      <c r="W93" s="227"/>
      <c r="X93" s="227"/>
      <c r="Y93" s="227"/>
      <c r="Z93" s="227"/>
      <c r="AA93" s="227"/>
      <c r="AB93" s="227"/>
      <c r="AC93" s="227"/>
      <c r="AD93" s="227"/>
      <c r="AE93" s="227"/>
      <c r="AF93" s="227"/>
      <c r="AG93" s="225"/>
    </row>
    <row r="94" ht="15.75"/>
    <row r="95" ht="15.75"/>
    <row r="97" ht="15.75"/>
    <row r="98" ht="15.75"/>
  </sheetData>
  <sheetProtection/>
  <mergeCells count="27">
    <mergeCell ref="A11:AG11"/>
    <mergeCell ref="AF20:AF21"/>
    <mergeCell ref="AC19:AF19"/>
    <mergeCell ref="K20:O20"/>
    <mergeCell ref="AE20:AE21"/>
    <mergeCell ref="A18:AF18"/>
    <mergeCell ref="A19:A21"/>
    <mergeCell ref="B19:B21"/>
    <mergeCell ref="C19:C21"/>
    <mergeCell ref="AA19:AB20"/>
    <mergeCell ref="A13:AG13"/>
    <mergeCell ref="A14:AG14"/>
    <mergeCell ref="AG19:AG21"/>
    <mergeCell ref="H19:I20"/>
    <mergeCell ref="A16:AG16"/>
    <mergeCell ref="AC20:AD20"/>
    <mergeCell ref="U20:V20"/>
    <mergeCell ref="Y20:Z20"/>
    <mergeCell ref="U19:Z19"/>
    <mergeCell ref="W20:X20"/>
    <mergeCell ref="B93:V93"/>
    <mergeCell ref="D19:D21"/>
    <mergeCell ref="E19:E21"/>
    <mergeCell ref="F19:G20"/>
    <mergeCell ref="K19:T19"/>
    <mergeCell ref="P20:T20"/>
    <mergeCell ref="J19:J21"/>
  </mergeCells>
  <printOptions/>
  <pageMargins left="0.1968503937007874" right="0.1968503937007874" top="0.3937007874015748" bottom="0.3937007874015748" header="0.31496062992125984" footer="0.11811023622047245"/>
  <pageSetup horizontalDpi="600" verticalDpi="600" orientation="portrait" paperSize="8" scale="70"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BJ102"/>
  <sheetViews>
    <sheetView view="pageBreakPreview" zoomScale="70" zoomScaleSheetLayoutView="70" zoomScalePageLayoutView="0" workbookViewId="0" topLeftCell="A59">
      <selection activeCell="C64" sqref="C64"/>
    </sheetView>
  </sheetViews>
  <sheetFormatPr defaultColWidth="9.00390625" defaultRowHeight="15.75"/>
  <cols>
    <col min="1" max="1" width="7.625" style="1" customWidth="1"/>
    <col min="2" max="2" width="50.50390625" style="1" customWidth="1"/>
    <col min="3" max="3" width="14.25390625" style="1" customWidth="1"/>
    <col min="4" max="4" width="11.625" style="398" customWidth="1"/>
    <col min="5" max="5" width="11.625" style="396" customWidth="1"/>
    <col min="6" max="6" width="12.00390625" style="398" customWidth="1"/>
    <col min="7" max="7" width="9.25390625" style="398" bestFit="1" customWidth="1"/>
    <col min="8" max="8" width="7.75390625" style="398" bestFit="1" customWidth="1"/>
    <col min="9" max="9" width="5.75390625" style="398" bestFit="1" customWidth="1"/>
    <col min="10" max="10" width="8.00390625" style="398" customWidth="1"/>
    <col min="11" max="11" width="8.875" style="398" customWidth="1"/>
    <col min="12" max="12" width="5.50390625" style="398" bestFit="1" customWidth="1"/>
    <col min="13" max="13" width="12.25390625" style="396" customWidth="1"/>
    <col min="14" max="14" width="9.25390625" style="396" bestFit="1" customWidth="1"/>
    <col min="15" max="15" width="6.00390625" style="396" bestFit="1" customWidth="1"/>
    <col min="16" max="16" width="5.75390625" style="396" bestFit="1" customWidth="1"/>
    <col min="17" max="17" width="8.00390625" style="396" customWidth="1"/>
    <col min="18" max="18" width="5.75390625" style="396" bestFit="1" customWidth="1"/>
    <col min="19" max="19" width="5.50390625" style="396" bestFit="1" customWidth="1"/>
    <col min="20" max="20" width="12.25390625" style="398" customWidth="1"/>
    <col min="21" max="21" width="8.75390625" style="398" customWidth="1"/>
    <col min="22" max="23" width="6.00390625" style="398" customWidth="1"/>
    <col min="24" max="24" width="8.375" style="398" customWidth="1"/>
    <col min="25" max="25" width="8.25390625" style="398" customWidth="1"/>
    <col min="26" max="26" width="5.50390625" style="398" bestFit="1" customWidth="1"/>
    <col min="27" max="27" width="11.75390625" style="396" customWidth="1"/>
    <col min="28" max="28" width="8.00390625" style="396" customWidth="1"/>
    <col min="29" max="30" width="6.00390625" style="396" customWidth="1"/>
    <col min="31" max="31" width="7.625" style="396" customWidth="1"/>
    <col min="32" max="32" width="6.00390625" style="396" customWidth="1"/>
    <col min="33" max="33" width="5.50390625" style="396" bestFit="1" customWidth="1"/>
    <col min="34" max="34" width="12.25390625" style="398" customWidth="1"/>
    <col min="35" max="35" width="8.00390625" style="398" customWidth="1"/>
    <col min="36" max="37" width="7.375" style="398" customWidth="1"/>
    <col min="38" max="38" width="7.00390625" style="398" customWidth="1"/>
    <col min="39" max="39" width="7.375" style="398" customWidth="1"/>
    <col min="40" max="40" width="5.50390625" style="398" bestFit="1" customWidth="1"/>
    <col min="41" max="41" width="12.50390625" style="396" customWidth="1"/>
    <col min="42" max="42" width="7.875" style="396" customWidth="1"/>
    <col min="43" max="44" width="6.00390625" style="396" customWidth="1"/>
    <col min="45" max="45" width="7.00390625" style="396" customWidth="1"/>
    <col min="46" max="46" width="6.875" style="396" customWidth="1"/>
    <col min="47" max="47" width="5.50390625" style="396" bestFit="1" customWidth="1"/>
    <col min="48" max="48" width="48.125" style="1" customWidth="1"/>
    <col min="49" max="49" width="4.125" style="1" customWidth="1"/>
    <col min="50" max="50" width="3.75390625" style="1" customWidth="1"/>
    <col min="51" max="51" width="3.875" style="1" customWidth="1"/>
    <col min="52" max="52" width="4.50390625" style="1" customWidth="1"/>
    <col min="53" max="53" width="5.00390625" style="1" customWidth="1"/>
    <col min="54" max="54" width="5.50390625" style="1" customWidth="1"/>
    <col min="55" max="55" width="5.75390625" style="1" customWidth="1"/>
    <col min="56" max="56" width="5.50390625" style="1" customWidth="1"/>
    <col min="57" max="58" width="5.00390625" style="1" customWidth="1"/>
    <col min="59" max="59" width="12.875" style="1" customWidth="1"/>
    <col min="60" max="69" width="5.00390625" style="1" customWidth="1"/>
    <col min="70" max="16384" width="9.00390625" style="1" customWidth="1"/>
  </cols>
  <sheetData>
    <row r="1" spans="1:48" ht="15.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50" t="s">
        <v>143</v>
      </c>
    </row>
    <row r="2" spans="1:48" ht="15.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51" t="s">
        <v>423</v>
      </c>
    </row>
    <row r="3" spans="1:48" ht="15.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51" t="s">
        <v>589</v>
      </c>
    </row>
    <row r="4" spans="1:48" ht="15.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51"/>
    </row>
    <row r="5" spans="1:48" ht="15.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51" t="s">
        <v>591</v>
      </c>
    </row>
    <row r="6" spans="1:48" ht="15.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51" t="s">
        <v>592</v>
      </c>
    </row>
    <row r="7" spans="1:48" ht="15.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51"/>
    </row>
    <row r="8" spans="1:48" ht="15.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51" t="s">
        <v>597</v>
      </c>
    </row>
    <row r="9" spans="1:48" ht="15.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51"/>
    </row>
    <row r="10" spans="1:48" ht="15.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51" t="s">
        <v>725</v>
      </c>
    </row>
    <row r="11" spans="1:47" ht="15.75">
      <c r="A11" s="629" t="s">
        <v>195</v>
      </c>
      <c r="B11" s="629"/>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2"/>
      <c r="AI11" s="2"/>
      <c r="AJ11" s="2"/>
      <c r="AK11" s="2"/>
      <c r="AL11" s="2"/>
      <c r="AM11" s="2"/>
      <c r="AN11" s="2"/>
      <c r="AO11" s="2"/>
      <c r="AP11" s="2"/>
      <c r="AQ11" s="2"/>
      <c r="AR11" s="2"/>
      <c r="AS11" s="2"/>
      <c r="AT11" s="2"/>
      <c r="AU11" s="2"/>
    </row>
    <row r="12" spans="1:62" ht="25.5" customHeight="1">
      <c r="A12" s="633" t="s">
        <v>586</v>
      </c>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399"/>
      <c r="AI12" s="399"/>
      <c r="AJ12" s="399"/>
      <c r="AK12" s="399"/>
      <c r="AL12" s="399"/>
      <c r="AM12" s="399"/>
      <c r="AN12" s="399"/>
      <c r="AO12" s="399"/>
      <c r="AP12" s="399"/>
      <c r="AQ12" s="399"/>
      <c r="AR12" s="399"/>
      <c r="AS12" s="399"/>
      <c r="AT12" s="399"/>
      <c r="AU12" s="399"/>
      <c r="AV12" s="75"/>
      <c r="AW12" s="75"/>
      <c r="AX12" s="75"/>
      <c r="AY12" s="75"/>
      <c r="AZ12" s="75"/>
      <c r="BA12" s="75"/>
      <c r="BB12" s="75"/>
      <c r="BC12" s="75"/>
      <c r="BD12" s="75"/>
      <c r="BE12" s="75"/>
      <c r="BF12" s="75"/>
      <c r="BG12" s="75"/>
      <c r="BH12" s="75"/>
      <c r="BI12" s="75"/>
      <c r="BJ12" s="75"/>
    </row>
    <row r="13" spans="1:61" ht="15.75">
      <c r="A13" s="634" t="s">
        <v>109</v>
      </c>
      <c r="B13" s="634"/>
      <c r="C13" s="634"/>
      <c r="D13" s="634"/>
      <c r="E13" s="634"/>
      <c r="F13" s="634"/>
      <c r="G13" s="634"/>
      <c r="H13" s="634"/>
      <c r="I13" s="634"/>
      <c r="J13" s="634"/>
      <c r="K13" s="634"/>
      <c r="L13" s="634"/>
      <c r="M13" s="634"/>
      <c r="N13" s="634"/>
      <c r="O13" s="634"/>
      <c r="P13" s="634"/>
      <c r="Q13" s="634"/>
      <c r="R13" s="634"/>
      <c r="S13" s="634"/>
      <c r="T13" s="634"/>
      <c r="U13" s="634"/>
      <c r="V13" s="634"/>
      <c r="W13" s="634"/>
      <c r="X13" s="634"/>
      <c r="Y13" s="634"/>
      <c r="Z13" s="634"/>
      <c r="AA13" s="634"/>
      <c r="AB13" s="634"/>
      <c r="AC13" s="634"/>
      <c r="AD13" s="634"/>
      <c r="AE13" s="634"/>
      <c r="AF13" s="634"/>
      <c r="AG13" s="634"/>
      <c r="AH13" s="400"/>
      <c r="AI13" s="400"/>
      <c r="AJ13" s="400"/>
      <c r="AK13" s="400"/>
      <c r="AL13" s="400"/>
      <c r="AM13" s="400"/>
      <c r="AN13" s="400"/>
      <c r="AO13" s="400"/>
      <c r="AP13" s="400"/>
      <c r="AQ13" s="400"/>
      <c r="AR13" s="400"/>
      <c r="AS13" s="400"/>
      <c r="AT13" s="400"/>
      <c r="AU13" s="400"/>
      <c r="AV13" s="76"/>
      <c r="AW13" s="76"/>
      <c r="AX13" s="76"/>
      <c r="AY13" s="76"/>
      <c r="AZ13" s="76"/>
      <c r="BA13" s="76"/>
      <c r="BB13" s="76"/>
      <c r="BC13" s="76"/>
      <c r="BD13" s="76"/>
      <c r="BE13" s="76"/>
      <c r="BF13" s="76"/>
      <c r="BG13" s="76"/>
      <c r="BH13" s="76"/>
      <c r="BI13" s="76"/>
    </row>
    <row r="14" spans="1:61" ht="15.75">
      <c r="A14" s="634"/>
      <c r="B14" s="634"/>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499"/>
      <c r="AI14" s="499"/>
      <c r="AJ14" s="499"/>
      <c r="AK14" s="499"/>
      <c r="AL14" s="499"/>
      <c r="AM14" s="499"/>
      <c r="AN14" s="499"/>
      <c r="AO14" s="499"/>
      <c r="AP14" s="499"/>
      <c r="AQ14" s="499"/>
      <c r="AR14" s="499"/>
      <c r="AS14" s="499"/>
      <c r="AT14" s="499"/>
      <c r="AU14" s="499"/>
      <c r="AV14" s="72"/>
      <c r="AW14" s="76"/>
      <c r="AX14" s="76"/>
      <c r="AY14" s="76"/>
      <c r="AZ14" s="76"/>
      <c r="BA14" s="76"/>
      <c r="BB14" s="76"/>
      <c r="BC14" s="76"/>
      <c r="BD14" s="76"/>
      <c r="BE14" s="76"/>
      <c r="BF14" s="76"/>
      <c r="BG14" s="76"/>
      <c r="BH14" s="76"/>
      <c r="BI14" s="76"/>
    </row>
    <row r="15" spans="1:50" ht="15.75">
      <c r="A15" s="561" t="s">
        <v>721</v>
      </c>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43"/>
      <c r="AI15" s="43"/>
      <c r="AJ15" s="43"/>
      <c r="AK15" s="43"/>
      <c r="AL15" s="43"/>
      <c r="AM15" s="43"/>
      <c r="AN15" s="43"/>
      <c r="AO15" s="43"/>
      <c r="AP15" s="43"/>
      <c r="AQ15" s="43"/>
      <c r="AR15" s="43"/>
      <c r="AS15" s="43"/>
      <c r="AT15" s="43"/>
      <c r="AU15" s="43"/>
      <c r="AV15" s="43"/>
      <c r="AW15" s="2"/>
      <c r="AX15" s="2"/>
    </row>
    <row r="16" spans="1:50" ht="15.75">
      <c r="A16" s="630"/>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
      <c r="AI16" s="2"/>
      <c r="AJ16" s="6"/>
      <c r="AK16" s="2"/>
      <c r="AL16" s="2"/>
      <c r="AM16" s="2"/>
      <c r="AN16" s="2"/>
      <c r="AO16" s="2"/>
      <c r="AP16" s="2"/>
      <c r="AQ16" s="2"/>
      <c r="AR16" s="2"/>
      <c r="AS16" s="2"/>
      <c r="AT16" s="2"/>
      <c r="AU16" s="2"/>
      <c r="AV16" s="2"/>
      <c r="AW16" s="2"/>
      <c r="AX16" s="2"/>
    </row>
    <row r="17" spans="1:61" ht="15.75" customHeight="1">
      <c r="A17" s="631" t="s">
        <v>18</v>
      </c>
      <c r="B17" s="631"/>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79"/>
      <c r="AI17" s="79"/>
      <c r="AJ17" s="79"/>
      <c r="AK17" s="79"/>
      <c r="AL17" s="79"/>
      <c r="AM17" s="79"/>
      <c r="AN17" s="79"/>
      <c r="AO17" s="79"/>
      <c r="AP17" s="79"/>
      <c r="AQ17" s="79"/>
      <c r="AR17" s="79"/>
      <c r="AS17" s="79"/>
      <c r="AT17" s="79"/>
      <c r="AU17" s="79"/>
      <c r="AV17" s="79"/>
      <c r="AW17" s="63"/>
      <c r="AX17" s="63"/>
      <c r="AY17" s="63"/>
      <c r="AZ17" s="63"/>
      <c r="BA17" s="63"/>
      <c r="BB17" s="63"/>
      <c r="BC17" s="63"/>
      <c r="BD17" s="63"/>
      <c r="BE17" s="63"/>
      <c r="BF17" s="63"/>
      <c r="BG17" s="63"/>
      <c r="BH17" s="63"/>
      <c r="BI17" s="63"/>
    </row>
    <row r="18" spans="1:61" ht="15.75">
      <c r="A18" s="632" t="s">
        <v>415</v>
      </c>
      <c r="B18" s="632"/>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80"/>
      <c r="AI18" s="80"/>
      <c r="AJ18" s="80"/>
      <c r="AK18" s="80"/>
      <c r="AL18" s="80"/>
      <c r="AM18" s="80"/>
      <c r="AN18" s="80"/>
      <c r="AO18" s="80"/>
      <c r="AP18" s="80"/>
      <c r="AQ18" s="80"/>
      <c r="AR18" s="80"/>
      <c r="AS18" s="80"/>
      <c r="AT18" s="80"/>
      <c r="AU18" s="80"/>
      <c r="AV18" s="80"/>
      <c r="AW18" s="19"/>
      <c r="AX18" s="19"/>
      <c r="AY18" s="19"/>
      <c r="AZ18" s="19"/>
      <c r="BA18" s="19"/>
      <c r="BB18" s="19"/>
      <c r="BC18" s="19"/>
      <c r="BD18" s="19"/>
      <c r="BE18" s="19"/>
      <c r="BF18" s="19"/>
      <c r="BG18" s="19"/>
      <c r="BH18" s="19"/>
      <c r="BI18" s="19"/>
    </row>
    <row r="19" spans="1:59" ht="15.75" customHeight="1" thickBot="1">
      <c r="A19" s="604"/>
      <c r="B19" s="604"/>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488"/>
      <c r="AV19" s="14"/>
      <c r="AW19" s="14"/>
      <c r="AX19" s="14"/>
      <c r="AY19" s="14"/>
      <c r="AZ19" s="14"/>
      <c r="BA19" s="14"/>
      <c r="BB19" s="14"/>
      <c r="BC19" s="14"/>
      <c r="BD19" s="14"/>
      <c r="BE19" s="14"/>
      <c r="BF19" s="14"/>
      <c r="BG19" s="14"/>
    </row>
    <row r="20" spans="1:59" ht="31.5" customHeight="1">
      <c r="A20" s="605" t="s">
        <v>24</v>
      </c>
      <c r="B20" s="608" t="s">
        <v>452</v>
      </c>
      <c r="C20" s="608" t="s">
        <v>426</v>
      </c>
      <c r="D20" s="622" t="s">
        <v>108</v>
      </c>
      <c r="E20" s="622"/>
      <c r="F20" s="623" t="s">
        <v>606</v>
      </c>
      <c r="G20" s="624"/>
      <c r="H20" s="624"/>
      <c r="I20" s="624"/>
      <c r="J20" s="624"/>
      <c r="K20" s="624"/>
      <c r="L20" s="624"/>
      <c r="M20" s="624"/>
      <c r="N20" s="624"/>
      <c r="O20" s="624"/>
      <c r="P20" s="624"/>
      <c r="Q20" s="624"/>
      <c r="R20" s="624"/>
      <c r="S20" s="625"/>
      <c r="T20" s="621" t="s">
        <v>110</v>
      </c>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15" t="s">
        <v>21</v>
      </c>
      <c r="AW20" s="15"/>
      <c r="AX20" s="15"/>
      <c r="AY20" s="15"/>
      <c r="AZ20" s="15"/>
      <c r="BA20" s="15"/>
      <c r="BB20" s="15"/>
      <c r="BC20" s="15"/>
      <c r="BD20" s="15"/>
      <c r="BE20" s="15"/>
      <c r="BF20" s="15"/>
      <c r="BG20" s="15"/>
    </row>
    <row r="21" spans="1:48" ht="44.25" customHeight="1">
      <c r="A21" s="606"/>
      <c r="B21" s="609"/>
      <c r="C21" s="609"/>
      <c r="D21" s="613"/>
      <c r="E21" s="613"/>
      <c r="F21" s="626"/>
      <c r="G21" s="627"/>
      <c r="H21" s="627"/>
      <c r="I21" s="627"/>
      <c r="J21" s="627"/>
      <c r="K21" s="627"/>
      <c r="L21" s="627"/>
      <c r="M21" s="627"/>
      <c r="N21" s="627"/>
      <c r="O21" s="627"/>
      <c r="P21" s="627"/>
      <c r="Q21" s="627"/>
      <c r="R21" s="627"/>
      <c r="S21" s="628"/>
      <c r="T21" s="610" t="s">
        <v>607</v>
      </c>
      <c r="U21" s="611"/>
      <c r="V21" s="611"/>
      <c r="W21" s="611"/>
      <c r="X21" s="611"/>
      <c r="Y21" s="611"/>
      <c r="Z21" s="611"/>
      <c r="AA21" s="611"/>
      <c r="AB21" s="611"/>
      <c r="AC21" s="611"/>
      <c r="AD21" s="611"/>
      <c r="AE21" s="611"/>
      <c r="AF21" s="611"/>
      <c r="AG21" s="620"/>
      <c r="AH21" s="613" t="s">
        <v>425</v>
      </c>
      <c r="AI21" s="613"/>
      <c r="AJ21" s="613"/>
      <c r="AK21" s="613"/>
      <c r="AL21" s="613"/>
      <c r="AM21" s="613"/>
      <c r="AN21" s="613"/>
      <c r="AO21" s="613"/>
      <c r="AP21" s="613"/>
      <c r="AQ21" s="613"/>
      <c r="AR21" s="613"/>
      <c r="AS21" s="613"/>
      <c r="AT21" s="613"/>
      <c r="AU21" s="613"/>
      <c r="AV21" s="616"/>
    </row>
    <row r="22" spans="1:48" ht="51" customHeight="1">
      <c r="A22" s="606"/>
      <c r="B22" s="609"/>
      <c r="C22" s="609"/>
      <c r="D22" s="613"/>
      <c r="E22" s="613"/>
      <c r="F22" s="610" t="s">
        <v>440</v>
      </c>
      <c r="G22" s="611"/>
      <c r="H22" s="611"/>
      <c r="I22" s="611"/>
      <c r="J22" s="611"/>
      <c r="K22" s="611"/>
      <c r="L22" s="611"/>
      <c r="M22" s="617" t="s">
        <v>623</v>
      </c>
      <c r="N22" s="618"/>
      <c r="O22" s="618"/>
      <c r="P22" s="618"/>
      <c r="Q22" s="618"/>
      <c r="R22" s="618"/>
      <c r="S22" s="619"/>
      <c r="T22" s="610" t="s">
        <v>440</v>
      </c>
      <c r="U22" s="611"/>
      <c r="V22" s="611"/>
      <c r="W22" s="611"/>
      <c r="X22" s="611"/>
      <c r="Y22" s="611"/>
      <c r="Z22" s="611"/>
      <c r="AA22" s="617" t="s">
        <v>623</v>
      </c>
      <c r="AB22" s="618"/>
      <c r="AC22" s="618"/>
      <c r="AD22" s="618"/>
      <c r="AE22" s="618"/>
      <c r="AF22" s="618"/>
      <c r="AG22" s="619"/>
      <c r="AH22" s="610" t="s">
        <v>440</v>
      </c>
      <c r="AI22" s="611"/>
      <c r="AJ22" s="611"/>
      <c r="AK22" s="611"/>
      <c r="AL22" s="611"/>
      <c r="AM22" s="611"/>
      <c r="AN22" s="611"/>
      <c r="AO22" s="617" t="s">
        <v>623</v>
      </c>
      <c r="AP22" s="618"/>
      <c r="AQ22" s="618"/>
      <c r="AR22" s="618"/>
      <c r="AS22" s="618"/>
      <c r="AT22" s="618"/>
      <c r="AU22" s="619"/>
      <c r="AV22" s="616"/>
    </row>
    <row r="23" spans="1:48" ht="37.5" customHeight="1">
      <c r="A23" s="606"/>
      <c r="B23" s="609"/>
      <c r="C23" s="609"/>
      <c r="D23" s="613" t="s">
        <v>209</v>
      </c>
      <c r="E23" s="613" t="s">
        <v>623</v>
      </c>
      <c r="F23" s="93" t="s">
        <v>492</v>
      </c>
      <c r="G23" s="612" t="s">
        <v>491</v>
      </c>
      <c r="H23" s="612"/>
      <c r="I23" s="612"/>
      <c r="J23" s="612"/>
      <c r="K23" s="612"/>
      <c r="L23" s="612"/>
      <c r="M23" s="93" t="s">
        <v>492</v>
      </c>
      <c r="N23" s="612" t="s">
        <v>491</v>
      </c>
      <c r="O23" s="612"/>
      <c r="P23" s="612"/>
      <c r="Q23" s="612"/>
      <c r="R23" s="612"/>
      <c r="S23" s="612"/>
      <c r="T23" s="93" t="s">
        <v>492</v>
      </c>
      <c r="U23" s="612" t="s">
        <v>491</v>
      </c>
      <c r="V23" s="612"/>
      <c r="W23" s="612"/>
      <c r="X23" s="612"/>
      <c r="Y23" s="612"/>
      <c r="Z23" s="612"/>
      <c r="AA23" s="93" t="s">
        <v>492</v>
      </c>
      <c r="AB23" s="612" t="s">
        <v>491</v>
      </c>
      <c r="AC23" s="612"/>
      <c r="AD23" s="612"/>
      <c r="AE23" s="612"/>
      <c r="AF23" s="612"/>
      <c r="AG23" s="612"/>
      <c r="AH23" s="93" t="s">
        <v>492</v>
      </c>
      <c r="AI23" s="612" t="s">
        <v>491</v>
      </c>
      <c r="AJ23" s="612"/>
      <c r="AK23" s="612"/>
      <c r="AL23" s="612"/>
      <c r="AM23" s="612"/>
      <c r="AN23" s="612"/>
      <c r="AO23" s="93" t="s">
        <v>492</v>
      </c>
      <c r="AP23" s="612" t="s">
        <v>491</v>
      </c>
      <c r="AQ23" s="612"/>
      <c r="AR23" s="612"/>
      <c r="AS23" s="612"/>
      <c r="AT23" s="612"/>
      <c r="AU23" s="612"/>
      <c r="AV23" s="616"/>
    </row>
    <row r="24" spans="1:48" ht="66" customHeight="1" thickBot="1">
      <c r="A24" s="607"/>
      <c r="B24" s="609"/>
      <c r="C24" s="609"/>
      <c r="D24" s="614"/>
      <c r="E24" s="614"/>
      <c r="F24" s="176" t="s">
        <v>445</v>
      </c>
      <c r="G24" s="176" t="s">
        <v>445</v>
      </c>
      <c r="H24" s="244" t="s">
        <v>427</v>
      </c>
      <c r="I24" s="244" t="s">
        <v>428</v>
      </c>
      <c r="J24" s="244" t="s">
        <v>93</v>
      </c>
      <c r="K24" s="244" t="s">
        <v>424</v>
      </c>
      <c r="L24" s="244" t="s">
        <v>6</v>
      </c>
      <c r="M24" s="176" t="s">
        <v>445</v>
      </c>
      <c r="N24" s="176" t="s">
        <v>445</v>
      </c>
      <c r="O24" s="244" t="s">
        <v>427</v>
      </c>
      <c r="P24" s="244" t="s">
        <v>428</v>
      </c>
      <c r="Q24" s="244" t="s">
        <v>93</v>
      </c>
      <c r="R24" s="244" t="s">
        <v>424</v>
      </c>
      <c r="S24" s="244" t="s">
        <v>6</v>
      </c>
      <c r="T24" s="176" t="s">
        <v>445</v>
      </c>
      <c r="U24" s="176" t="s">
        <v>445</v>
      </c>
      <c r="V24" s="244" t="s">
        <v>427</v>
      </c>
      <c r="W24" s="244" t="s">
        <v>428</v>
      </c>
      <c r="X24" s="244" t="s">
        <v>93</v>
      </c>
      <c r="Y24" s="244" t="s">
        <v>424</v>
      </c>
      <c r="Z24" s="244" t="s">
        <v>6</v>
      </c>
      <c r="AA24" s="176" t="s">
        <v>445</v>
      </c>
      <c r="AB24" s="176" t="s">
        <v>445</v>
      </c>
      <c r="AC24" s="244" t="s">
        <v>427</v>
      </c>
      <c r="AD24" s="244" t="s">
        <v>428</v>
      </c>
      <c r="AE24" s="244" t="s">
        <v>93</v>
      </c>
      <c r="AF24" s="244" t="s">
        <v>424</v>
      </c>
      <c r="AG24" s="244" t="s">
        <v>6</v>
      </c>
      <c r="AH24" s="176" t="s">
        <v>445</v>
      </c>
      <c r="AI24" s="176" t="s">
        <v>445</v>
      </c>
      <c r="AJ24" s="244" t="s">
        <v>427</v>
      </c>
      <c r="AK24" s="244" t="s">
        <v>428</v>
      </c>
      <c r="AL24" s="244" t="s">
        <v>93</v>
      </c>
      <c r="AM24" s="244" t="s">
        <v>424</v>
      </c>
      <c r="AN24" s="244" t="s">
        <v>6</v>
      </c>
      <c r="AO24" s="176" t="s">
        <v>445</v>
      </c>
      <c r="AP24" s="176" t="s">
        <v>445</v>
      </c>
      <c r="AQ24" s="244" t="s">
        <v>427</v>
      </c>
      <c r="AR24" s="244" t="s">
        <v>428</v>
      </c>
      <c r="AS24" s="244" t="s">
        <v>93</v>
      </c>
      <c r="AT24" s="244" t="s">
        <v>424</v>
      </c>
      <c r="AU24" s="244" t="s">
        <v>6</v>
      </c>
      <c r="AV24" s="616"/>
    </row>
    <row r="25" spans="1:48" ht="16.5" thickBot="1">
      <c r="A25" s="246">
        <v>1</v>
      </c>
      <c r="B25" s="247">
        <v>2</v>
      </c>
      <c r="C25" s="247">
        <v>3</v>
      </c>
      <c r="D25" s="247">
        <v>4</v>
      </c>
      <c r="E25" s="247">
        <v>5</v>
      </c>
      <c r="F25" s="248" t="s">
        <v>76</v>
      </c>
      <c r="G25" s="248" t="s">
        <v>77</v>
      </c>
      <c r="H25" s="248" t="s">
        <v>78</v>
      </c>
      <c r="I25" s="248" t="s">
        <v>79</v>
      </c>
      <c r="J25" s="248" t="s">
        <v>80</v>
      </c>
      <c r="K25" s="248" t="s">
        <v>81</v>
      </c>
      <c r="L25" s="248" t="s">
        <v>82</v>
      </c>
      <c r="M25" s="248" t="s">
        <v>83</v>
      </c>
      <c r="N25" s="248" t="s">
        <v>84</v>
      </c>
      <c r="O25" s="248" t="s">
        <v>85</v>
      </c>
      <c r="P25" s="248" t="s">
        <v>86</v>
      </c>
      <c r="Q25" s="248" t="s">
        <v>87</v>
      </c>
      <c r="R25" s="248" t="s">
        <v>88</v>
      </c>
      <c r="S25" s="248" t="s">
        <v>89</v>
      </c>
      <c r="T25" s="248" t="s">
        <v>94</v>
      </c>
      <c r="U25" s="248" t="s">
        <v>95</v>
      </c>
      <c r="V25" s="248" t="s">
        <v>96</v>
      </c>
      <c r="W25" s="248" t="s">
        <v>97</v>
      </c>
      <c r="X25" s="248" t="s">
        <v>98</v>
      </c>
      <c r="Y25" s="248" t="s">
        <v>99</v>
      </c>
      <c r="Z25" s="248" t="s">
        <v>100</v>
      </c>
      <c r="AA25" s="248" t="s">
        <v>101</v>
      </c>
      <c r="AB25" s="248" t="s">
        <v>102</v>
      </c>
      <c r="AC25" s="248" t="s">
        <v>103</v>
      </c>
      <c r="AD25" s="248" t="s">
        <v>104</v>
      </c>
      <c r="AE25" s="248" t="s">
        <v>105</v>
      </c>
      <c r="AF25" s="248" t="s">
        <v>106</v>
      </c>
      <c r="AG25" s="248" t="s">
        <v>107</v>
      </c>
      <c r="AH25" s="248" t="s">
        <v>216</v>
      </c>
      <c r="AI25" s="248" t="s">
        <v>217</v>
      </c>
      <c r="AJ25" s="248" t="s">
        <v>218</v>
      </c>
      <c r="AK25" s="248" t="s">
        <v>219</v>
      </c>
      <c r="AL25" s="248" t="s">
        <v>220</v>
      </c>
      <c r="AM25" s="248" t="s">
        <v>221</v>
      </c>
      <c r="AN25" s="248" t="s">
        <v>222</v>
      </c>
      <c r="AO25" s="248" t="s">
        <v>223</v>
      </c>
      <c r="AP25" s="248" t="s">
        <v>224</v>
      </c>
      <c r="AQ25" s="248" t="s">
        <v>225</v>
      </c>
      <c r="AR25" s="248" t="s">
        <v>226</v>
      </c>
      <c r="AS25" s="248" t="s">
        <v>227</v>
      </c>
      <c r="AT25" s="248" t="s">
        <v>228</v>
      </c>
      <c r="AU25" s="248" t="s">
        <v>229</v>
      </c>
      <c r="AV25" s="249" t="s">
        <v>554</v>
      </c>
    </row>
    <row r="26" spans="1:48" s="2" customFormat="1" ht="15.75">
      <c r="A26" s="323"/>
      <c r="B26" s="194" t="s">
        <v>475</v>
      </c>
      <c r="C26" s="324" t="s">
        <v>261</v>
      </c>
      <c r="D26" s="218">
        <f>SUM(D27:D32)</f>
        <v>32.220242525254235</v>
      </c>
      <c r="E26" s="218">
        <f>SUM(E27:E32)</f>
        <v>31.77986395355932</v>
      </c>
      <c r="F26" s="449"/>
      <c r="G26" s="218">
        <f>SUM(G27:G32)</f>
        <v>32.220242525254235</v>
      </c>
      <c r="H26" s="218">
        <f>SUM(H27:H32)</f>
        <v>1.38</v>
      </c>
      <c r="I26" s="218">
        <f>SUM(I27:I32)</f>
        <v>0</v>
      </c>
      <c r="J26" s="218">
        <f>SUM(J27:J32)</f>
        <v>18.947000000000003</v>
      </c>
      <c r="K26" s="218">
        <f>SUM(K27:K32)</f>
        <v>0</v>
      </c>
      <c r="L26" s="449"/>
      <c r="M26" s="449"/>
      <c r="N26" s="218">
        <f>SUM(N27:N32)</f>
        <v>31.77986395355932</v>
      </c>
      <c r="O26" s="218">
        <f>SUM(O27:O32)</f>
        <v>1.38</v>
      </c>
      <c r="P26" s="218">
        <f>SUM(P27:P32)</f>
        <v>0</v>
      </c>
      <c r="Q26" s="218">
        <f>SUM(Q27:Q32)</f>
        <v>18.947000000000003</v>
      </c>
      <c r="R26" s="218">
        <f>SUM(R27:R32)</f>
        <v>0</v>
      </c>
      <c r="S26" s="449"/>
      <c r="T26" s="449"/>
      <c r="U26" s="218">
        <f>SUM(U27:U32)</f>
        <v>32.220242525254235</v>
      </c>
      <c r="V26" s="218">
        <f>SUM(V27:V32)</f>
        <v>1.38</v>
      </c>
      <c r="W26" s="218">
        <f>SUM(W27:W32)</f>
        <v>0</v>
      </c>
      <c r="X26" s="218">
        <f>SUM(X27:X32)</f>
        <v>18.947000000000003</v>
      </c>
      <c r="Y26" s="218">
        <f>SUM(Y27:Y32)</f>
        <v>0</v>
      </c>
      <c r="Z26" s="449"/>
      <c r="AA26" s="449"/>
      <c r="AB26" s="218">
        <f>SUM(AB27:AB32)</f>
        <v>31.77986395355932</v>
      </c>
      <c r="AC26" s="218">
        <f>SUM(AC27:AC32)</f>
        <v>1.38</v>
      </c>
      <c r="AD26" s="218">
        <f>SUM(AD27:AD32)</f>
        <v>0</v>
      </c>
      <c r="AE26" s="218">
        <f>SUM(AE27:AE32)</f>
        <v>18.947000000000003</v>
      </c>
      <c r="AF26" s="218">
        <f>SUM(AF27:AF32)</f>
        <v>0</v>
      </c>
      <c r="AG26" s="449"/>
      <c r="AH26" s="449"/>
      <c r="AI26" s="218">
        <f>SUM(AI27:AI32)</f>
        <v>32.220242525254235</v>
      </c>
      <c r="AJ26" s="218">
        <f>SUM(AJ27:AJ32)</f>
        <v>1.38</v>
      </c>
      <c r="AK26" s="218">
        <f>SUM(AK27:AK32)</f>
        <v>0</v>
      </c>
      <c r="AL26" s="218">
        <f>SUM(AL27:AL32)</f>
        <v>18.947000000000003</v>
      </c>
      <c r="AM26" s="218">
        <f>SUM(AM27:AM32)</f>
        <v>0</v>
      </c>
      <c r="AN26" s="449"/>
      <c r="AO26" s="449"/>
      <c r="AP26" s="490">
        <f>SUM(AP27:AP32)</f>
        <v>31.77986395355932</v>
      </c>
      <c r="AQ26" s="218">
        <f>SUM(AQ27:AQ32)</f>
        <v>1.38</v>
      </c>
      <c r="AR26" s="218">
        <f>SUM(AR27:AR32)</f>
        <v>0</v>
      </c>
      <c r="AS26" s="490">
        <f>SUM(AS27:AS32)</f>
        <v>18.947000000000003</v>
      </c>
      <c r="AT26" s="218">
        <f>SUM(AT27:AT32)</f>
        <v>0</v>
      </c>
      <c r="AU26" s="449"/>
      <c r="AV26" s="245"/>
    </row>
    <row r="27" spans="1:48" s="2" customFormat="1" ht="15.75">
      <c r="A27" s="207" t="s">
        <v>476</v>
      </c>
      <c r="B27" s="159" t="s">
        <v>477</v>
      </c>
      <c r="C27" s="173" t="s">
        <v>261</v>
      </c>
      <c r="D27" s="141">
        <f>D55</f>
        <v>11.0606299</v>
      </c>
      <c r="E27" s="141">
        <f>E55</f>
        <v>11.0606299</v>
      </c>
      <c r="F27" s="127"/>
      <c r="G27" s="141">
        <f>G55</f>
        <v>11.0606299</v>
      </c>
      <c r="H27" s="141">
        <f>H55</f>
        <v>1.38</v>
      </c>
      <c r="I27" s="141">
        <f>I55</f>
        <v>0</v>
      </c>
      <c r="J27" s="141">
        <f>J55</f>
        <v>5.628</v>
      </c>
      <c r="K27" s="141">
        <f>K55</f>
        <v>0</v>
      </c>
      <c r="L27" s="127"/>
      <c r="M27" s="127"/>
      <c r="N27" s="141">
        <f>N55</f>
        <v>11.0606299</v>
      </c>
      <c r="O27" s="141">
        <f>O55</f>
        <v>1.38</v>
      </c>
      <c r="P27" s="141">
        <f>P55</f>
        <v>0</v>
      </c>
      <c r="Q27" s="141">
        <f>Q55</f>
        <v>5.628</v>
      </c>
      <c r="R27" s="141">
        <f>R55</f>
        <v>0</v>
      </c>
      <c r="S27" s="127"/>
      <c r="T27" s="127"/>
      <c r="U27" s="141">
        <f>U55</f>
        <v>11.0606299</v>
      </c>
      <c r="V27" s="141">
        <f>V55</f>
        <v>1.38</v>
      </c>
      <c r="W27" s="141">
        <f>W55</f>
        <v>0</v>
      </c>
      <c r="X27" s="141">
        <f>X55</f>
        <v>5.628</v>
      </c>
      <c r="Y27" s="141">
        <f>Y55</f>
        <v>0</v>
      </c>
      <c r="Z27" s="127"/>
      <c r="AA27" s="127"/>
      <c r="AB27" s="141">
        <f>AB55</f>
        <v>11.0606299</v>
      </c>
      <c r="AC27" s="141">
        <f>AC55</f>
        <v>1.38</v>
      </c>
      <c r="AD27" s="141">
        <f>AD55</f>
        <v>0</v>
      </c>
      <c r="AE27" s="141">
        <f>AE55</f>
        <v>5.628</v>
      </c>
      <c r="AF27" s="141">
        <f>AF55</f>
        <v>0</v>
      </c>
      <c r="AG27" s="127"/>
      <c r="AH27" s="127"/>
      <c r="AI27" s="141">
        <f>AI55</f>
        <v>11.0606299</v>
      </c>
      <c r="AJ27" s="141">
        <f>AJ55</f>
        <v>1.38</v>
      </c>
      <c r="AK27" s="141">
        <f>AK55</f>
        <v>0</v>
      </c>
      <c r="AL27" s="141">
        <f>AL55</f>
        <v>5.628</v>
      </c>
      <c r="AM27" s="141">
        <f>AM55</f>
        <v>0</v>
      </c>
      <c r="AN27" s="127"/>
      <c r="AO27" s="127"/>
      <c r="AP27" s="473">
        <f>AP55</f>
        <v>11.0606299</v>
      </c>
      <c r="AQ27" s="473">
        <f>AQ55</f>
        <v>1.38</v>
      </c>
      <c r="AR27" s="473">
        <f>AR55</f>
        <v>0</v>
      </c>
      <c r="AS27" s="473">
        <f>AS55</f>
        <v>5.628</v>
      </c>
      <c r="AT27" s="141">
        <f>AT55</f>
        <v>0</v>
      </c>
      <c r="AU27" s="127"/>
      <c r="AV27" s="237"/>
    </row>
    <row r="28" spans="1:48" s="2" customFormat="1" ht="31.5">
      <c r="A28" s="207" t="s">
        <v>478</v>
      </c>
      <c r="B28" s="159" t="s">
        <v>479</v>
      </c>
      <c r="C28" s="173" t="s">
        <v>261</v>
      </c>
      <c r="D28" s="141">
        <f>D33</f>
        <v>12.353253438813558</v>
      </c>
      <c r="E28" s="141">
        <f>E33</f>
        <v>11.83400567</v>
      </c>
      <c r="F28" s="127"/>
      <c r="G28" s="141">
        <f>G33</f>
        <v>12.353253438813558</v>
      </c>
      <c r="H28" s="141">
        <f>H33</f>
        <v>0</v>
      </c>
      <c r="I28" s="141">
        <f>I33</f>
        <v>0</v>
      </c>
      <c r="J28" s="141">
        <f>J33</f>
        <v>11.075000000000001</v>
      </c>
      <c r="K28" s="141">
        <f>K33</f>
        <v>0</v>
      </c>
      <c r="L28" s="127"/>
      <c r="M28" s="127"/>
      <c r="N28" s="141">
        <f>N33</f>
        <v>11.83400567</v>
      </c>
      <c r="O28" s="141">
        <f>O33</f>
        <v>0</v>
      </c>
      <c r="P28" s="141">
        <f>P33</f>
        <v>0</v>
      </c>
      <c r="Q28" s="141">
        <f>Q33</f>
        <v>11.075000000000001</v>
      </c>
      <c r="R28" s="141">
        <f>R33</f>
        <v>0</v>
      </c>
      <c r="S28" s="127"/>
      <c r="T28" s="127"/>
      <c r="U28" s="141">
        <f>U33</f>
        <v>12.353253438813558</v>
      </c>
      <c r="V28" s="141">
        <f>V33</f>
        <v>0</v>
      </c>
      <c r="W28" s="141">
        <f>W33</f>
        <v>0</v>
      </c>
      <c r="X28" s="141">
        <f>X33</f>
        <v>11.075000000000001</v>
      </c>
      <c r="Y28" s="141">
        <f>Y33</f>
        <v>0</v>
      </c>
      <c r="Z28" s="127"/>
      <c r="AA28" s="127"/>
      <c r="AB28" s="141">
        <f>AB33</f>
        <v>11.83400567</v>
      </c>
      <c r="AC28" s="141">
        <f>AC33</f>
        <v>0</v>
      </c>
      <c r="AD28" s="141">
        <f>AD33</f>
        <v>0</v>
      </c>
      <c r="AE28" s="141">
        <f>AE33</f>
        <v>11.075000000000001</v>
      </c>
      <c r="AF28" s="141">
        <f>AF33</f>
        <v>0</v>
      </c>
      <c r="AG28" s="127"/>
      <c r="AH28" s="127"/>
      <c r="AI28" s="141">
        <f>AI33</f>
        <v>12.353253438813558</v>
      </c>
      <c r="AJ28" s="141">
        <f>AJ33</f>
        <v>0</v>
      </c>
      <c r="AK28" s="141">
        <f>AK33</f>
        <v>0</v>
      </c>
      <c r="AL28" s="141">
        <f>AL33</f>
        <v>11.075000000000001</v>
      </c>
      <c r="AM28" s="141">
        <f>AM33</f>
        <v>0</v>
      </c>
      <c r="AN28" s="127"/>
      <c r="AO28" s="127"/>
      <c r="AP28" s="473">
        <f>AP33</f>
        <v>11.83400567</v>
      </c>
      <c r="AQ28" s="141">
        <f>AQ33</f>
        <v>0</v>
      </c>
      <c r="AR28" s="141">
        <f>AR33</f>
        <v>0</v>
      </c>
      <c r="AS28" s="473">
        <f>AS33</f>
        <v>11.075000000000001</v>
      </c>
      <c r="AT28" s="141">
        <f>AT33</f>
        <v>0</v>
      </c>
      <c r="AU28" s="127"/>
      <c r="AV28" s="237"/>
    </row>
    <row r="29" spans="1:48" s="2" customFormat="1" ht="47.25">
      <c r="A29" s="207" t="s">
        <v>480</v>
      </c>
      <c r="B29" s="159" t="s">
        <v>481</v>
      </c>
      <c r="C29" s="173" t="s">
        <v>261</v>
      </c>
      <c r="D29" s="141">
        <v>0</v>
      </c>
      <c r="E29" s="141">
        <v>0</v>
      </c>
      <c r="F29" s="127"/>
      <c r="G29" s="141">
        <v>0</v>
      </c>
      <c r="H29" s="141">
        <v>0</v>
      </c>
      <c r="I29" s="141">
        <v>0</v>
      </c>
      <c r="J29" s="141">
        <v>0</v>
      </c>
      <c r="K29" s="141">
        <v>0</v>
      </c>
      <c r="L29" s="127"/>
      <c r="M29" s="127"/>
      <c r="N29" s="141">
        <v>0</v>
      </c>
      <c r="O29" s="141">
        <v>0</v>
      </c>
      <c r="P29" s="141">
        <v>0</v>
      </c>
      <c r="Q29" s="141">
        <v>0</v>
      </c>
      <c r="R29" s="141">
        <v>0</v>
      </c>
      <c r="S29" s="127"/>
      <c r="T29" s="127"/>
      <c r="U29" s="141">
        <v>0</v>
      </c>
      <c r="V29" s="141">
        <v>0</v>
      </c>
      <c r="W29" s="141">
        <v>0</v>
      </c>
      <c r="X29" s="141">
        <v>0</v>
      </c>
      <c r="Y29" s="141">
        <v>0</v>
      </c>
      <c r="Z29" s="127"/>
      <c r="AA29" s="127"/>
      <c r="AB29" s="141">
        <v>0</v>
      </c>
      <c r="AC29" s="141">
        <v>0</v>
      </c>
      <c r="AD29" s="141">
        <v>0</v>
      </c>
      <c r="AE29" s="141">
        <v>0</v>
      </c>
      <c r="AF29" s="141">
        <v>0</v>
      </c>
      <c r="AG29" s="127"/>
      <c r="AH29" s="127"/>
      <c r="AI29" s="141">
        <v>0</v>
      </c>
      <c r="AJ29" s="141">
        <v>0</v>
      </c>
      <c r="AK29" s="141">
        <v>0</v>
      </c>
      <c r="AL29" s="141">
        <v>0</v>
      </c>
      <c r="AM29" s="141">
        <v>0</v>
      </c>
      <c r="AN29" s="127"/>
      <c r="AO29" s="127"/>
      <c r="AP29" s="473">
        <v>0</v>
      </c>
      <c r="AQ29" s="141">
        <v>0</v>
      </c>
      <c r="AR29" s="141">
        <v>0</v>
      </c>
      <c r="AS29" s="473">
        <v>0</v>
      </c>
      <c r="AT29" s="141">
        <v>0</v>
      </c>
      <c r="AU29" s="127"/>
      <c r="AV29" s="237"/>
    </row>
    <row r="30" spans="1:48" s="2" customFormat="1" ht="31.5">
      <c r="A30" s="207" t="s">
        <v>482</v>
      </c>
      <c r="B30" s="159" t="s">
        <v>483</v>
      </c>
      <c r="C30" s="173" t="s">
        <v>261</v>
      </c>
      <c r="D30" s="141">
        <f>D53</f>
        <v>6.2898049491525425</v>
      </c>
      <c r="E30" s="141">
        <f>E53</f>
        <v>6.46007275</v>
      </c>
      <c r="F30" s="127"/>
      <c r="G30" s="141">
        <f>G53</f>
        <v>6.2898049491525425</v>
      </c>
      <c r="H30" s="141">
        <f>H53</f>
        <v>0</v>
      </c>
      <c r="I30" s="141">
        <f>I53</f>
        <v>0</v>
      </c>
      <c r="J30" s="141">
        <f>J53</f>
        <v>2.244</v>
      </c>
      <c r="K30" s="141">
        <f>K53</f>
        <v>0</v>
      </c>
      <c r="L30" s="127"/>
      <c r="M30" s="127"/>
      <c r="N30" s="141">
        <f>N53</f>
        <v>6.46007275</v>
      </c>
      <c r="O30" s="141">
        <f>O53</f>
        <v>0</v>
      </c>
      <c r="P30" s="141">
        <f>P53</f>
        <v>0</v>
      </c>
      <c r="Q30" s="141">
        <f>Q53</f>
        <v>2.244</v>
      </c>
      <c r="R30" s="141">
        <f>R53</f>
        <v>0</v>
      </c>
      <c r="S30" s="127"/>
      <c r="T30" s="127"/>
      <c r="U30" s="141">
        <f>U53</f>
        <v>6.2898049491525425</v>
      </c>
      <c r="V30" s="141">
        <f>V53</f>
        <v>0</v>
      </c>
      <c r="W30" s="141">
        <f>W53</f>
        <v>0</v>
      </c>
      <c r="X30" s="141">
        <f>X53</f>
        <v>2.244</v>
      </c>
      <c r="Y30" s="141">
        <f>Y53</f>
        <v>0</v>
      </c>
      <c r="Z30" s="127"/>
      <c r="AA30" s="127"/>
      <c r="AB30" s="141">
        <f>AB53</f>
        <v>6.46007275</v>
      </c>
      <c r="AC30" s="141">
        <f>AC53</f>
        <v>0</v>
      </c>
      <c r="AD30" s="141">
        <f>AD53</f>
        <v>0</v>
      </c>
      <c r="AE30" s="141">
        <f>AE53</f>
        <v>2.244</v>
      </c>
      <c r="AF30" s="141">
        <f>AF53</f>
        <v>0</v>
      </c>
      <c r="AG30" s="127"/>
      <c r="AH30" s="127"/>
      <c r="AI30" s="141">
        <f>AI53</f>
        <v>6.2898049491525425</v>
      </c>
      <c r="AJ30" s="141">
        <f>AJ53</f>
        <v>0</v>
      </c>
      <c r="AK30" s="141">
        <f>AK53</f>
        <v>0</v>
      </c>
      <c r="AL30" s="141">
        <f>AL53</f>
        <v>2.244</v>
      </c>
      <c r="AM30" s="141">
        <f>AM53</f>
        <v>0</v>
      </c>
      <c r="AN30" s="127"/>
      <c r="AO30" s="127"/>
      <c r="AP30" s="473">
        <f>AP53</f>
        <v>6.46007275</v>
      </c>
      <c r="AQ30" s="473">
        <f>AQ53</f>
        <v>0</v>
      </c>
      <c r="AR30" s="473">
        <f>AR53</f>
        <v>0</v>
      </c>
      <c r="AS30" s="473">
        <f>AS53</f>
        <v>2.244</v>
      </c>
      <c r="AT30" s="473">
        <f>AT53</f>
        <v>0</v>
      </c>
      <c r="AU30" s="127"/>
      <c r="AV30" s="237"/>
    </row>
    <row r="31" spans="1:48" s="2" customFormat="1" ht="31.5">
      <c r="A31" s="207" t="s">
        <v>484</v>
      </c>
      <c r="B31" s="160" t="s">
        <v>485</v>
      </c>
      <c r="C31" s="173" t="s">
        <v>261</v>
      </c>
      <c r="D31" s="141">
        <v>0</v>
      </c>
      <c r="E31" s="141">
        <v>0</v>
      </c>
      <c r="F31" s="127"/>
      <c r="G31" s="141">
        <v>0</v>
      </c>
      <c r="H31" s="141">
        <v>0</v>
      </c>
      <c r="I31" s="141">
        <v>0</v>
      </c>
      <c r="J31" s="141">
        <v>0</v>
      </c>
      <c r="K31" s="141">
        <v>0</v>
      </c>
      <c r="L31" s="127"/>
      <c r="M31" s="127"/>
      <c r="N31" s="141">
        <v>0</v>
      </c>
      <c r="O31" s="141">
        <v>0</v>
      </c>
      <c r="P31" s="141">
        <v>0</v>
      </c>
      <c r="Q31" s="141">
        <v>0</v>
      </c>
      <c r="R31" s="141">
        <v>0</v>
      </c>
      <c r="S31" s="127"/>
      <c r="T31" s="127"/>
      <c r="U31" s="141">
        <v>0</v>
      </c>
      <c r="V31" s="141">
        <v>0</v>
      </c>
      <c r="W31" s="141">
        <v>0</v>
      </c>
      <c r="X31" s="141">
        <v>0</v>
      </c>
      <c r="Y31" s="141">
        <v>0</v>
      </c>
      <c r="Z31" s="127"/>
      <c r="AA31" s="127"/>
      <c r="AB31" s="141">
        <v>0</v>
      </c>
      <c r="AC31" s="141">
        <v>0</v>
      </c>
      <c r="AD31" s="141">
        <v>0</v>
      </c>
      <c r="AE31" s="141">
        <v>0</v>
      </c>
      <c r="AF31" s="141">
        <v>0</v>
      </c>
      <c r="AG31" s="127"/>
      <c r="AH31" s="127"/>
      <c r="AI31" s="141">
        <v>0</v>
      </c>
      <c r="AJ31" s="141">
        <v>0</v>
      </c>
      <c r="AK31" s="141">
        <v>0</v>
      </c>
      <c r="AL31" s="141">
        <v>0</v>
      </c>
      <c r="AM31" s="141">
        <v>0</v>
      </c>
      <c r="AN31" s="127"/>
      <c r="AO31" s="127"/>
      <c r="AP31" s="473">
        <v>0</v>
      </c>
      <c r="AQ31" s="141">
        <v>0</v>
      </c>
      <c r="AR31" s="141">
        <v>0</v>
      </c>
      <c r="AS31" s="473">
        <v>0</v>
      </c>
      <c r="AT31" s="141">
        <v>0</v>
      </c>
      <c r="AU31" s="127"/>
      <c r="AV31" s="237"/>
    </row>
    <row r="32" spans="1:48" s="2" customFormat="1" ht="15.75">
      <c r="A32" s="207" t="s">
        <v>486</v>
      </c>
      <c r="B32" s="160" t="s">
        <v>487</v>
      </c>
      <c r="C32" s="173" t="s">
        <v>261</v>
      </c>
      <c r="D32" s="141">
        <f>D48</f>
        <v>2.5165542372881355</v>
      </c>
      <c r="E32" s="141">
        <f>E48</f>
        <v>2.4251556335593216</v>
      </c>
      <c r="F32" s="127"/>
      <c r="G32" s="141">
        <f>G48</f>
        <v>2.5165542372881355</v>
      </c>
      <c r="H32" s="141">
        <f>H48</f>
        <v>0</v>
      </c>
      <c r="I32" s="141">
        <f>I48</f>
        <v>0</v>
      </c>
      <c r="J32" s="141">
        <f>J48</f>
        <v>0</v>
      </c>
      <c r="K32" s="141">
        <f>K48</f>
        <v>0</v>
      </c>
      <c r="L32" s="127"/>
      <c r="M32" s="127"/>
      <c r="N32" s="141">
        <f>N48</f>
        <v>2.4251556335593216</v>
      </c>
      <c r="O32" s="141">
        <f>O48</f>
        <v>0</v>
      </c>
      <c r="P32" s="141">
        <f>P48</f>
        <v>0</v>
      </c>
      <c r="Q32" s="141">
        <f>Q48</f>
        <v>0</v>
      </c>
      <c r="R32" s="141">
        <f>R48</f>
        <v>0</v>
      </c>
      <c r="S32" s="127"/>
      <c r="T32" s="127"/>
      <c r="U32" s="141">
        <f>U48</f>
        <v>2.5165542372881355</v>
      </c>
      <c r="V32" s="141">
        <f>V48</f>
        <v>0</v>
      </c>
      <c r="W32" s="141">
        <f>W48</f>
        <v>0</v>
      </c>
      <c r="X32" s="141">
        <f>X48</f>
        <v>0</v>
      </c>
      <c r="Y32" s="141">
        <f>Y48</f>
        <v>0</v>
      </c>
      <c r="Z32" s="127"/>
      <c r="AA32" s="127"/>
      <c r="AB32" s="141">
        <f>AB48</f>
        <v>2.4251556335593216</v>
      </c>
      <c r="AC32" s="141">
        <f>AC48</f>
        <v>0</v>
      </c>
      <c r="AD32" s="141">
        <f>AD48</f>
        <v>0</v>
      </c>
      <c r="AE32" s="141">
        <f>AE48</f>
        <v>0</v>
      </c>
      <c r="AF32" s="141">
        <f>AF48</f>
        <v>0</v>
      </c>
      <c r="AG32" s="127"/>
      <c r="AH32" s="127"/>
      <c r="AI32" s="141">
        <f>AI48</f>
        <v>2.5165542372881355</v>
      </c>
      <c r="AJ32" s="141">
        <f>AJ48</f>
        <v>0</v>
      </c>
      <c r="AK32" s="141">
        <f>AK48</f>
        <v>0</v>
      </c>
      <c r="AL32" s="141">
        <f>AL48</f>
        <v>0</v>
      </c>
      <c r="AM32" s="141">
        <f>AM48</f>
        <v>0</v>
      </c>
      <c r="AN32" s="127"/>
      <c r="AO32" s="127"/>
      <c r="AP32" s="473">
        <f>AP48</f>
        <v>2.4251556335593216</v>
      </c>
      <c r="AQ32" s="141">
        <f>AQ48</f>
        <v>0</v>
      </c>
      <c r="AR32" s="141">
        <f>AR48</f>
        <v>0</v>
      </c>
      <c r="AS32" s="473">
        <f>AS48</f>
        <v>0</v>
      </c>
      <c r="AT32" s="141">
        <f>AT48</f>
        <v>0</v>
      </c>
      <c r="AU32" s="127"/>
      <c r="AV32" s="237"/>
    </row>
    <row r="33" spans="1:48" s="2" customFormat="1" ht="31.5">
      <c r="A33" s="325">
        <v>1</v>
      </c>
      <c r="B33" s="161" t="s">
        <v>260</v>
      </c>
      <c r="C33" s="173" t="s">
        <v>261</v>
      </c>
      <c r="D33" s="141">
        <f>D34+D45</f>
        <v>12.353253438813558</v>
      </c>
      <c r="E33" s="141">
        <f>E34+E45</f>
        <v>11.83400567</v>
      </c>
      <c r="F33" s="127"/>
      <c r="G33" s="141">
        <f>G34+G45</f>
        <v>12.353253438813558</v>
      </c>
      <c r="H33" s="141">
        <f>H34+H45</f>
        <v>0</v>
      </c>
      <c r="I33" s="141">
        <f>I34+I45</f>
        <v>0</v>
      </c>
      <c r="J33" s="141">
        <f>J34+J45</f>
        <v>11.075000000000001</v>
      </c>
      <c r="K33" s="141">
        <f>K34+K45</f>
        <v>0</v>
      </c>
      <c r="L33" s="127"/>
      <c r="M33" s="127"/>
      <c r="N33" s="141">
        <f>N34+N45</f>
        <v>11.83400567</v>
      </c>
      <c r="O33" s="141">
        <f>O34+O45</f>
        <v>0</v>
      </c>
      <c r="P33" s="141">
        <f>P34+P45</f>
        <v>0</v>
      </c>
      <c r="Q33" s="141">
        <f>Q34+Q45</f>
        <v>11.075000000000001</v>
      </c>
      <c r="R33" s="141">
        <f>R34+R45</f>
        <v>0</v>
      </c>
      <c r="S33" s="127"/>
      <c r="T33" s="127"/>
      <c r="U33" s="141">
        <f>U34+U45</f>
        <v>12.353253438813558</v>
      </c>
      <c r="V33" s="141">
        <f>V34+V45</f>
        <v>0</v>
      </c>
      <c r="W33" s="141">
        <f>W34+W45</f>
        <v>0</v>
      </c>
      <c r="X33" s="141">
        <f>X34+X45</f>
        <v>11.075000000000001</v>
      </c>
      <c r="Y33" s="141">
        <f>Y34+Y45</f>
        <v>0</v>
      </c>
      <c r="Z33" s="127"/>
      <c r="AA33" s="127"/>
      <c r="AB33" s="141">
        <f>AB34+AB45</f>
        <v>11.83400567</v>
      </c>
      <c r="AC33" s="141">
        <f>AC34+AC45</f>
        <v>0</v>
      </c>
      <c r="AD33" s="141">
        <f>AD34+AD45</f>
        <v>0</v>
      </c>
      <c r="AE33" s="141">
        <f>AE34+AE45</f>
        <v>11.075000000000001</v>
      </c>
      <c r="AF33" s="141">
        <f>AF34+AF45</f>
        <v>0</v>
      </c>
      <c r="AG33" s="127"/>
      <c r="AH33" s="127"/>
      <c r="AI33" s="141">
        <f>AI34+AI45</f>
        <v>12.353253438813558</v>
      </c>
      <c r="AJ33" s="141">
        <f>AJ34+AJ45</f>
        <v>0</v>
      </c>
      <c r="AK33" s="141">
        <f>AK34+AK45</f>
        <v>0</v>
      </c>
      <c r="AL33" s="141">
        <f>AL34+AL45</f>
        <v>11.075000000000001</v>
      </c>
      <c r="AM33" s="141">
        <f>AM34+AM45</f>
        <v>0</v>
      </c>
      <c r="AN33" s="127"/>
      <c r="AO33" s="127"/>
      <c r="AP33" s="473">
        <f>AP34+AP45</f>
        <v>11.83400567</v>
      </c>
      <c r="AQ33" s="141">
        <f>AQ34+AQ45</f>
        <v>0</v>
      </c>
      <c r="AR33" s="141">
        <f>AR34+AR45</f>
        <v>0</v>
      </c>
      <c r="AS33" s="473">
        <f>AS34+AS45</f>
        <v>11.075000000000001</v>
      </c>
      <c r="AT33" s="141">
        <f>AT34+AT45</f>
        <v>0</v>
      </c>
      <c r="AU33" s="127"/>
      <c r="AV33" s="237"/>
    </row>
    <row r="34" spans="1:48" s="2" customFormat="1" ht="47.25">
      <c r="A34" s="207" t="s">
        <v>285</v>
      </c>
      <c r="B34" s="161" t="s">
        <v>263</v>
      </c>
      <c r="C34" s="173" t="s">
        <v>261</v>
      </c>
      <c r="D34" s="141">
        <f>SUM(D35:D44)</f>
        <v>11.743253438813559</v>
      </c>
      <c r="E34" s="141">
        <f>SUM(E35:E44)</f>
        <v>11.029878049999999</v>
      </c>
      <c r="F34" s="127"/>
      <c r="G34" s="141">
        <f>SUM(G35:G44)</f>
        <v>11.743253438813559</v>
      </c>
      <c r="H34" s="141">
        <f>SUM(H35:H44)</f>
        <v>0</v>
      </c>
      <c r="I34" s="141">
        <f>SUM(I35:I44)</f>
        <v>0</v>
      </c>
      <c r="J34" s="141">
        <f>SUM(J35:J44)</f>
        <v>11.075000000000001</v>
      </c>
      <c r="K34" s="141">
        <f>SUM(K35:K44)</f>
        <v>0</v>
      </c>
      <c r="L34" s="127"/>
      <c r="M34" s="127"/>
      <c r="N34" s="141">
        <f>SUM(N35:N44)</f>
        <v>11.029878049999999</v>
      </c>
      <c r="O34" s="141">
        <f>SUM(O35:O44)</f>
        <v>0</v>
      </c>
      <c r="P34" s="141">
        <f>SUM(P35:P44)</f>
        <v>0</v>
      </c>
      <c r="Q34" s="141">
        <f>SUM(Q35:Q44)</f>
        <v>11.075000000000001</v>
      </c>
      <c r="R34" s="141">
        <f>SUM(R35:R44)</f>
        <v>0</v>
      </c>
      <c r="S34" s="127"/>
      <c r="T34" s="127"/>
      <c r="U34" s="141">
        <f>SUM(U35:U44)</f>
        <v>11.743253438813559</v>
      </c>
      <c r="V34" s="141">
        <f>SUM(V35:V44)</f>
        <v>0</v>
      </c>
      <c r="W34" s="141">
        <f>SUM(W35:W44)</f>
        <v>0</v>
      </c>
      <c r="X34" s="141">
        <f>SUM(X35:X44)</f>
        <v>11.075000000000001</v>
      </c>
      <c r="Y34" s="141">
        <f>SUM(Y35:Y44)</f>
        <v>0</v>
      </c>
      <c r="Z34" s="127"/>
      <c r="AA34" s="127"/>
      <c r="AB34" s="141">
        <f>SUM(AB35:AB44)</f>
        <v>11.029878049999999</v>
      </c>
      <c r="AC34" s="141">
        <f>SUM(AC35:AC44)</f>
        <v>0</v>
      </c>
      <c r="AD34" s="141">
        <f>SUM(AD35:AD44)</f>
        <v>0</v>
      </c>
      <c r="AE34" s="141">
        <f>SUM(AE35:AE44)</f>
        <v>11.075000000000001</v>
      </c>
      <c r="AF34" s="141">
        <f>SUM(AF35:AF44)</f>
        <v>0</v>
      </c>
      <c r="AG34" s="127"/>
      <c r="AH34" s="127"/>
      <c r="AI34" s="141">
        <f>SUM(AI35:AI44)</f>
        <v>11.743253438813559</v>
      </c>
      <c r="AJ34" s="141">
        <f>SUM(AJ35:AJ44)</f>
        <v>0</v>
      </c>
      <c r="AK34" s="141">
        <f>SUM(AK35:AK44)</f>
        <v>0</v>
      </c>
      <c r="AL34" s="141">
        <f>SUM(AL35:AL44)</f>
        <v>11.075000000000001</v>
      </c>
      <c r="AM34" s="141">
        <f>SUM(AM35:AM44)</f>
        <v>0</v>
      </c>
      <c r="AN34" s="127"/>
      <c r="AO34" s="127"/>
      <c r="AP34" s="473">
        <f>SUM(AP35:AP44)</f>
        <v>11.029878049999999</v>
      </c>
      <c r="AQ34" s="141">
        <f>SUM(AQ35:AQ44)</f>
        <v>0</v>
      </c>
      <c r="AR34" s="141">
        <f>SUM(AR35:AR44)</f>
        <v>0</v>
      </c>
      <c r="AS34" s="473">
        <f>SUM(AS35:AS44)</f>
        <v>11.075000000000001</v>
      </c>
      <c r="AT34" s="141">
        <f>SUM(AT35:AT44)</f>
        <v>0</v>
      </c>
      <c r="AU34" s="127"/>
      <c r="AV34" s="237"/>
    </row>
    <row r="35" spans="1:48" s="2" customFormat="1" ht="47.25">
      <c r="A35" s="238" t="str">
        <f>1!A33</f>
        <v>1.1</v>
      </c>
      <c r="B35" s="170" t="str">
        <f>1!B33</f>
        <v>Реконструкция ВЛ-0,4 кВ ул.Шоссейная, п.Иноземцево, (и/н 0000467), СИП-2 3х50+1х54,6 - 0,418 км, СИП-2 3х35+1х54,6 - 0,366 км и СИП-4 2х16 - 0,575 км</v>
      </c>
      <c r="C35" s="125" t="str">
        <f>1!C33</f>
        <v>G_Gelezno_001</v>
      </c>
      <c r="D35" s="127">
        <f>3!H32</f>
        <v>0.65390371</v>
      </c>
      <c r="E35" s="491">
        <f>3!I32</f>
        <v>0.65084746</v>
      </c>
      <c r="F35" s="127"/>
      <c r="G35" s="127">
        <f>D35</f>
        <v>0.65390371</v>
      </c>
      <c r="H35" s="127"/>
      <c r="I35" s="127"/>
      <c r="J35" s="127">
        <f>Q35</f>
        <v>0.784</v>
      </c>
      <c r="K35" s="127"/>
      <c r="L35" s="127"/>
      <c r="M35" s="127"/>
      <c r="N35" s="127">
        <f>E35</f>
        <v>0.65084746</v>
      </c>
      <c r="O35" s="127"/>
      <c r="P35" s="127"/>
      <c r="Q35" s="127">
        <f>0.418+0.366</f>
        <v>0.784</v>
      </c>
      <c r="R35" s="127"/>
      <c r="S35" s="127"/>
      <c r="T35" s="127"/>
      <c r="U35" s="127">
        <f>D35</f>
        <v>0.65390371</v>
      </c>
      <c r="V35" s="127"/>
      <c r="W35" s="127"/>
      <c r="X35" s="127">
        <f>J35</f>
        <v>0.784</v>
      </c>
      <c r="Y35" s="127"/>
      <c r="Z35" s="127"/>
      <c r="AA35" s="127"/>
      <c r="AB35" s="127">
        <f>E35</f>
        <v>0.65084746</v>
      </c>
      <c r="AC35" s="127"/>
      <c r="AD35" s="127"/>
      <c r="AE35" s="127">
        <f>Q35</f>
        <v>0.784</v>
      </c>
      <c r="AF35" s="127"/>
      <c r="AG35" s="127"/>
      <c r="AH35" s="127"/>
      <c r="AI35" s="127">
        <f>D35</f>
        <v>0.65390371</v>
      </c>
      <c r="AJ35" s="127"/>
      <c r="AK35" s="127"/>
      <c r="AL35" s="127">
        <f>J35</f>
        <v>0.784</v>
      </c>
      <c r="AM35" s="127"/>
      <c r="AN35" s="127"/>
      <c r="AO35" s="127"/>
      <c r="AP35" s="497">
        <f>E35</f>
        <v>0.65084746</v>
      </c>
      <c r="AQ35" s="127"/>
      <c r="AR35" s="127"/>
      <c r="AS35" s="497">
        <f>Q35</f>
        <v>0.784</v>
      </c>
      <c r="AT35" s="127"/>
      <c r="AU35" s="127"/>
      <c r="AV35" s="206" t="s">
        <v>247</v>
      </c>
    </row>
    <row r="36" spans="1:48" s="2" customFormat="1" ht="47.25">
      <c r="A36" s="238" t="str">
        <f>1!A34</f>
        <v>1.1</v>
      </c>
      <c r="B36" s="170" t="str">
        <f>1!B34</f>
        <v>Реконструкция ВЛ-0,4 кВ ул.Р.Люксембург, г.Железноводск, (и/н 0000305), СИП-2 3х35+1х54,6 - 0,367 км и СИП-4 2х16 - 0,45 км</v>
      </c>
      <c r="C36" s="125" t="str">
        <f>1!C34</f>
        <v>G_Gelezno_002</v>
      </c>
      <c r="D36" s="127">
        <f>3!H33</f>
        <v>0.412</v>
      </c>
      <c r="E36" s="491">
        <f>3!I33</f>
        <v>0.41186441</v>
      </c>
      <c r="F36" s="127"/>
      <c r="G36" s="127">
        <f aca="true" t="shared" si="0" ref="G36:G43">D36</f>
        <v>0.412</v>
      </c>
      <c r="H36" s="127"/>
      <c r="I36" s="127"/>
      <c r="J36" s="127">
        <f aca="true" t="shared" si="1" ref="J36:J43">Q36</f>
        <v>0.367</v>
      </c>
      <c r="K36" s="127"/>
      <c r="L36" s="127"/>
      <c r="M36" s="127"/>
      <c r="N36" s="127">
        <f aca="true" t="shared" si="2" ref="N36:N43">E36</f>
        <v>0.41186441</v>
      </c>
      <c r="O36" s="127"/>
      <c r="P36" s="127"/>
      <c r="Q36" s="127">
        <v>0.367</v>
      </c>
      <c r="R36" s="127"/>
      <c r="S36" s="127"/>
      <c r="T36" s="127"/>
      <c r="U36" s="127">
        <f aca="true" t="shared" si="3" ref="U36:U43">D36</f>
        <v>0.412</v>
      </c>
      <c r="V36" s="127"/>
      <c r="W36" s="127"/>
      <c r="X36" s="127">
        <f aca="true" t="shared" si="4" ref="X36:X43">J36</f>
        <v>0.367</v>
      </c>
      <c r="Y36" s="127"/>
      <c r="Z36" s="127"/>
      <c r="AA36" s="127"/>
      <c r="AB36" s="127">
        <f aca="true" t="shared" si="5" ref="AB36:AB43">E36</f>
        <v>0.41186441</v>
      </c>
      <c r="AC36" s="127"/>
      <c r="AD36" s="127"/>
      <c r="AE36" s="127">
        <f aca="true" t="shared" si="6" ref="AE36:AE43">Q36</f>
        <v>0.367</v>
      </c>
      <c r="AF36" s="127"/>
      <c r="AG36" s="127"/>
      <c r="AH36" s="127"/>
      <c r="AI36" s="127">
        <f aca="true" t="shared" si="7" ref="AI36:AI43">D36</f>
        <v>0.412</v>
      </c>
      <c r="AJ36" s="127"/>
      <c r="AK36" s="127"/>
      <c r="AL36" s="127">
        <f aca="true" t="shared" si="8" ref="AL36:AL43">J36</f>
        <v>0.367</v>
      </c>
      <c r="AM36" s="127"/>
      <c r="AN36" s="127"/>
      <c r="AO36" s="127"/>
      <c r="AP36" s="497">
        <f aca="true" t="shared" si="9" ref="AP36:AP43">E36</f>
        <v>0.41186441</v>
      </c>
      <c r="AQ36" s="127"/>
      <c r="AR36" s="127"/>
      <c r="AS36" s="497">
        <f aca="true" t="shared" si="10" ref="AS36:AS43">Q36</f>
        <v>0.367</v>
      </c>
      <c r="AT36" s="127"/>
      <c r="AU36" s="127"/>
      <c r="AV36" s="206" t="s">
        <v>247</v>
      </c>
    </row>
    <row r="37" spans="1:48" s="2" customFormat="1" ht="47.25">
      <c r="A37" s="238" t="str">
        <f>1!A35</f>
        <v>1.1</v>
      </c>
      <c r="B37" s="170" t="str">
        <f>1!B35</f>
        <v>Реконструкция ВЛ-0,4 кВ ул.Свободы, п.Иноземцево, (и/н 0000450 и 0000451), СИП-2 3х35+1х54,6 - 2,35 км и СИП-4 2х16 - 2,97 км</v>
      </c>
      <c r="C37" s="125" t="str">
        <f>1!C35</f>
        <v>G_Gelezno_003</v>
      </c>
      <c r="D37" s="127">
        <f>3!H34</f>
        <v>2.2449661016949154</v>
      </c>
      <c r="E37" s="491">
        <f>3!I34</f>
        <v>2.20817534</v>
      </c>
      <c r="F37" s="127"/>
      <c r="G37" s="127">
        <f t="shared" si="0"/>
        <v>2.2449661016949154</v>
      </c>
      <c r="H37" s="127"/>
      <c r="I37" s="127"/>
      <c r="J37" s="127">
        <f t="shared" si="1"/>
        <v>2.35</v>
      </c>
      <c r="K37" s="127"/>
      <c r="L37" s="127"/>
      <c r="M37" s="127"/>
      <c r="N37" s="127">
        <f t="shared" si="2"/>
        <v>2.20817534</v>
      </c>
      <c r="O37" s="127"/>
      <c r="P37" s="127"/>
      <c r="Q37" s="127">
        <v>2.35</v>
      </c>
      <c r="R37" s="127"/>
      <c r="S37" s="127"/>
      <c r="T37" s="127"/>
      <c r="U37" s="127">
        <f t="shared" si="3"/>
        <v>2.2449661016949154</v>
      </c>
      <c r="V37" s="127"/>
      <c r="W37" s="127"/>
      <c r="X37" s="127">
        <f t="shared" si="4"/>
        <v>2.35</v>
      </c>
      <c r="Y37" s="127"/>
      <c r="Z37" s="127"/>
      <c r="AA37" s="127"/>
      <c r="AB37" s="127">
        <f t="shared" si="5"/>
        <v>2.20817534</v>
      </c>
      <c r="AC37" s="127"/>
      <c r="AD37" s="127"/>
      <c r="AE37" s="127">
        <f t="shared" si="6"/>
        <v>2.35</v>
      </c>
      <c r="AF37" s="127"/>
      <c r="AG37" s="127"/>
      <c r="AH37" s="127"/>
      <c r="AI37" s="127">
        <f t="shared" si="7"/>
        <v>2.2449661016949154</v>
      </c>
      <c r="AJ37" s="127"/>
      <c r="AK37" s="127"/>
      <c r="AL37" s="127">
        <f t="shared" si="8"/>
        <v>2.35</v>
      </c>
      <c r="AM37" s="127"/>
      <c r="AN37" s="127"/>
      <c r="AO37" s="127"/>
      <c r="AP37" s="497">
        <f t="shared" si="9"/>
        <v>2.20817534</v>
      </c>
      <c r="AQ37" s="127"/>
      <c r="AR37" s="127"/>
      <c r="AS37" s="497">
        <f t="shared" si="10"/>
        <v>2.35</v>
      </c>
      <c r="AT37" s="127"/>
      <c r="AU37" s="127"/>
      <c r="AV37" s="206" t="s">
        <v>247</v>
      </c>
    </row>
    <row r="38" spans="1:48" s="2" customFormat="1" ht="47.25">
      <c r="A38" s="238" t="str">
        <f>1!A36</f>
        <v>1.1</v>
      </c>
      <c r="B38" s="170" t="str">
        <f>1!B36</f>
        <v>Реконструкция ВЛ-0,4 кВ ул.Свободы до озера (от ул.Шоссей-ной), п.Иноземцево, (и/н 0000453), СИП-2 3х35+1х54,6 - 2,26 км и СИП-4 2х16 - 2,17 км</v>
      </c>
      <c r="C38" s="125" t="str">
        <f>1!C36</f>
        <v>G_Gelezno_004</v>
      </c>
      <c r="D38" s="127">
        <f>3!H35</f>
        <v>2.2506069152542376</v>
      </c>
      <c r="E38" s="491">
        <f>3!I35</f>
        <v>2.05246279</v>
      </c>
      <c r="F38" s="127"/>
      <c r="G38" s="127">
        <f t="shared" si="0"/>
        <v>2.2506069152542376</v>
      </c>
      <c r="H38" s="127"/>
      <c r="I38" s="127"/>
      <c r="J38" s="127">
        <f t="shared" si="1"/>
        <v>2.26</v>
      </c>
      <c r="K38" s="127"/>
      <c r="L38" s="127"/>
      <c r="M38" s="127"/>
      <c r="N38" s="127">
        <f t="shared" si="2"/>
        <v>2.05246279</v>
      </c>
      <c r="O38" s="127"/>
      <c r="P38" s="127"/>
      <c r="Q38" s="127">
        <v>2.26</v>
      </c>
      <c r="R38" s="127"/>
      <c r="S38" s="127"/>
      <c r="T38" s="127"/>
      <c r="U38" s="127">
        <f t="shared" si="3"/>
        <v>2.2506069152542376</v>
      </c>
      <c r="V38" s="127"/>
      <c r="W38" s="127"/>
      <c r="X38" s="127">
        <f t="shared" si="4"/>
        <v>2.26</v>
      </c>
      <c r="Y38" s="127"/>
      <c r="Z38" s="127"/>
      <c r="AA38" s="127"/>
      <c r="AB38" s="127">
        <f t="shared" si="5"/>
        <v>2.05246279</v>
      </c>
      <c r="AC38" s="127"/>
      <c r="AD38" s="127"/>
      <c r="AE38" s="127">
        <f t="shared" si="6"/>
        <v>2.26</v>
      </c>
      <c r="AF38" s="127"/>
      <c r="AG38" s="127"/>
      <c r="AH38" s="127"/>
      <c r="AI38" s="127">
        <f t="shared" si="7"/>
        <v>2.2506069152542376</v>
      </c>
      <c r="AJ38" s="127"/>
      <c r="AK38" s="127"/>
      <c r="AL38" s="127">
        <f t="shared" si="8"/>
        <v>2.26</v>
      </c>
      <c r="AM38" s="127"/>
      <c r="AN38" s="127"/>
      <c r="AO38" s="127"/>
      <c r="AP38" s="497">
        <f t="shared" si="9"/>
        <v>2.05246279</v>
      </c>
      <c r="AQ38" s="127"/>
      <c r="AR38" s="127"/>
      <c r="AS38" s="497">
        <f t="shared" si="10"/>
        <v>2.26</v>
      </c>
      <c r="AT38" s="127"/>
      <c r="AU38" s="127"/>
      <c r="AV38" s="206" t="s">
        <v>247</v>
      </c>
    </row>
    <row r="39" spans="1:48" s="2" customFormat="1" ht="47.25">
      <c r="A39" s="238" t="str">
        <f>1!A37</f>
        <v>1.1</v>
      </c>
      <c r="B39" s="170" t="str">
        <f>1!B37</f>
        <v>Реконструкция ВЛ-0,4 кВ ул.60 лет Октября, п.Иноземцево, (и/н 0000329 и 0000330), СИП-2 3х35+1х54,6 - 0,836 км и СИП-4 2х16 - 2,2 км</v>
      </c>
      <c r="C39" s="125" t="str">
        <f>1!C37</f>
        <v>G_Gelezno_005</v>
      </c>
      <c r="D39" s="127">
        <f>3!H36</f>
        <v>1.094</v>
      </c>
      <c r="E39" s="491">
        <f>3!I36</f>
        <v>1.04197688</v>
      </c>
      <c r="F39" s="127"/>
      <c r="G39" s="127">
        <f t="shared" si="0"/>
        <v>1.094</v>
      </c>
      <c r="H39" s="127"/>
      <c r="I39" s="127"/>
      <c r="J39" s="127">
        <f t="shared" si="1"/>
        <v>0.836</v>
      </c>
      <c r="K39" s="127"/>
      <c r="L39" s="127"/>
      <c r="M39" s="127"/>
      <c r="N39" s="127">
        <f t="shared" si="2"/>
        <v>1.04197688</v>
      </c>
      <c r="O39" s="127"/>
      <c r="P39" s="127"/>
      <c r="Q39" s="127">
        <v>0.836</v>
      </c>
      <c r="R39" s="127"/>
      <c r="S39" s="127"/>
      <c r="T39" s="127"/>
      <c r="U39" s="127">
        <f t="shared" si="3"/>
        <v>1.094</v>
      </c>
      <c r="V39" s="127"/>
      <c r="W39" s="127"/>
      <c r="X39" s="127">
        <f t="shared" si="4"/>
        <v>0.836</v>
      </c>
      <c r="Y39" s="127"/>
      <c r="Z39" s="127"/>
      <c r="AA39" s="127"/>
      <c r="AB39" s="127">
        <f t="shared" si="5"/>
        <v>1.04197688</v>
      </c>
      <c r="AC39" s="127"/>
      <c r="AD39" s="127"/>
      <c r="AE39" s="127">
        <f t="shared" si="6"/>
        <v>0.836</v>
      </c>
      <c r="AF39" s="127"/>
      <c r="AG39" s="127"/>
      <c r="AH39" s="127"/>
      <c r="AI39" s="127">
        <f t="shared" si="7"/>
        <v>1.094</v>
      </c>
      <c r="AJ39" s="127"/>
      <c r="AK39" s="127"/>
      <c r="AL39" s="127">
        <f t="shared" si="8"/>
        <v>0.836</v>
      </c>
      <c r="AM39" s="127"/>
      <c r="AN39" s="127"/>
      <c r="AO39" s="127"/>
      <c r="AP39" s="497">
        <f t="shared" si="9"/>
        <v>1.04197688</v>
      </c>
      <c r="AQ39" s="127"/>
      <c r="AR39" s="127"/>
      <c r="AS39" s="497">
        <f t="shared" si="10"/>
        <v>0.836</v>
      </c>
      <c r="AT39" s="127"/>
      <c r="AU39" s="127"/>
      <c r="AV39" s="206" t="s">
        <v>247</v>
      </c>
    </row>
    <row r="40" spans="1:48" s="2" customFormat="1" ht="47.25">
      <c r="A40" s="238" t="str">
        <f>1!A38</f>
        <v>1.1</v>
      </c>
      <c r="B40" s="170" t="str">
        <f>1!B38</f>
        <v>Реконструкция ВЛ-0,4 кВ ул.К.Цеткин и/н 0000376  и  ул.Пушкина и/н 0000440 п.Иноземцево, СИП-2 3х35+1х54,6 - 2,02 км и СИП-4 2х16 - 1,42 км</v>
      </c>
      <c r="C40" s="125" t="str">
        <f>1!C38</f>
        <v>G_Gelezno_006</v>
      </c>
      <c r="D40" s="127">
        <f>3!H37</f>
        <v>2.285</v>
      </c>
      <c r="E40" s="491">
        <f>3!I37</f>
        <v>2.1386064800000004</v>
      </c>
      <c r="F40" s="127"/>
      <c r="G40" s="127">
        <f t="shared" si="0"/>
        <v>2.285</v>
      </c>
      <c r="H40" s="127"/>
      <c r="I40" s="127"/>
      <c r="J40" s="127">
        <f t="shared" si="1"/>
        <v>2.02</v>
      </c>
      <c r="K40" s="127"/>
      <c r="L40" s="127"/>
      <c r="M40" s="127"/>
      <c r="N40" s="127">
        <f t="shared" si="2"/>
        <v>2.1386064800000004</v>
      </c>
      <c r="O40" s="127"/>
      <c r="P40" s="127"/>
      <c r="Q40" s="127">
        <v>2.02</v>
      </c>
      <c r="R40" s="127"/>
      <c r="S40" s="127"/>
      <c r="T40" s="127"/>
      <c r="U40" s="127">
        <f t="shared" si="3"/>
        <v>2.285</v>
      </c>
      <c r="V40" s="127"/>
      <c r="W40" s="127"/>
      <c r="X40" s="127">
        <f t="shared" si="4"/>
        <v>2.02</v>
      </c>
      <c r="Y40" s="127"/>
      <c r="Z40" s="127"/>
      <c r="AA40" s="127"/>
      <c r="AB40" s="127">
        <f t="shared" si="5"/>
        <v>2.1386064800000004</v>
      </c>
      <c r="AC40" s="127"/>
      <c r="AD40" s="127"/>
      <c r="AE40" s="127">
        <f t="shared" si="6"/>
        <v>2.02</v>
      </c>
      <c r="AF40" s="127"/>
      <c r="AG40" s="127"/>
      <c r="AH40" s="127"/>
      <c r="AI40" s="127">
        <f t="shared" si="7"/>
        <v>2.285</v>
      </c>
      <c r="AJ40" s="127"/>
      <c r="AK40" s="127"/>
      <c r="AL40" s="127">
        <f t="shared" si="8"/>
        <v>2.02</v>
      </c>
      <c r="AM40" s="127"/>
      <c r="AN40" s="127"/>
      <c r="AO40" s="127"/>
      <c r="AP40" s="497">
        <f t="shared" si="9"/>
        <v>2.1386064800000004</v>
      </c>
      <c r="AQ40" s="127"/>
      <c r="AR40" s="127"/>
      <c r="AS40" s="497">
        <f t="shared" si="10"/>
        <v>2.02</v>
      </c>
      <c r="AT40" s="127"/>
      <c r="AU40" s="127"/>
      <c r="AV40" s="206" t="s">
        <v>247</v>
      </c>
    </row>
    <row r="41" spans="1:48" s="2" customFormat="1" ht="47.25">
      <c r="A41" s="238" t="str">
        <f>1!A39</f>
        <v>1.1</v>
      </c>
      <c r="B41" s="170" t="str">
        <f>1!B39</f>
        <v>Реконструкция ВЛ-0,4 кВ ул.Бахановича, г.Железноводск, (и/н 0000285), СИП-2 3х35+1х54,6 - 0,502км и СИП-4 2х16 - 0,784 км</v>
      </c>
      <c r="C41" s="125" t="str">
        <f>1!C39</f>
        <v>G_Gelezno_007</v>
      </c>
      <c r="D41" s="127">
        <f>3!H38</f>
        <v>0.623</v>
      </c>
      <c r="E41" s="491">
        <f>3!I38</f>
        <v>0.60669792</v>
      </c>
      <c r="F41" s="127"/>
      <c r="G41" s="127">
        <f t="shared" si="0"/>
        <v>0.623</v>
      </c>
      <c r="H41" s="127"/>
      <c r="I41" s="127"/>
      <c r="J41" s="127">
        <f t="shared" si="1"/>
        <v>0.502</v>
      </c>
      <c r="K41" s="127"/>
      <c r="L41" s="127"/>
      <c r="M41" s="127"/>
      <c r="N41" s="127">
        <f t="shared" si="2"/>
        <v>0.60669792</v>
      </c>
      <c r="O41" s="127"/>
      <c r="P41" s="127"/>
      <c r="Q41" s="127">
        <v>0.502</v>
      </c>
      <c r="R41" s="127"/>
      <c r="S41" s="127"/>
      <c r="T41" s="127"/>
      <c r="U41" s="127">
        <f t="shared" si="3"/>
        <v>0.623</v>
      </c>
      <c r="V41" s="127"/>
      <c r="W41" s="127"/>
      <c r="X41" s="127">
        <f t="shared" si="4"/>
        <v>0.502</v>
      </c>
      <c r="Y41" s="127"/>
      <c r="Z41" s="127"/>
      <c r="AA41" s="127"/>
      <c r="AB41" s="127">
        <f t="shared" si="5"/>
        <v>0.60669792</v>
      </c>
      <c r="AC41" s="127"/>
      <c r="AD41" s="127"/>
      <c r="AE41" s="127">
        <f t="shared" si="6"/>
        <v>0.502</v>
      </c>
      <c r="AF41" s="127"/>
      <c r="AG41" s="127"/>
      <c r="AH41" s="127"/>
      <c r="AI41" s="127">
        <f t="shared" si="7"/>
        <v>0.623</v>
      </c>
      <c r="AJ41" s="127"/>
      <c r="AK41" s="127"/>
      <c r="AL41" s="127">
        <f t="shared" si="8"/>
        <v>0.502</v>
      </c>
      <c r="AM41" s="127"/>
      <c r="AN41" s="127"/>
      <c r="AO41" s="127"/>
      <c r="AP41" s="497">
        <f t="shared" si="9"/>
        <v>0.60669792</v>
      </c>
      <c r="AQ41" s="127"/>
      <c r="AR41" s="127"/>
      <c r="AS41" s="497">
        <f t="shared" si="10"/>
        <v>0.502</v>
      </c>
      <c r="AT41" s="127"/>
      <c r="AU41" s="127"/>
      <c r="AV41" s="206" t="s">
        <v>247</v>
      </c>
    </row>
    <row r="42" spans="1:48" s="2" customFormat="1" ht="47.25">
      <c r="A42" s="238" t="str">
        <f>1!A40</f>
        <v>1.1</v>
      </c>
      <c r="B42" s="170" t="str">
        <f>1!B40</f>
        <v>Реконструкция ВЛ-0,4 кВ ул.Ивановская, г. Железноводск, (и/н 0000370 и 0000371 ), СИП-2 3х35+1х54,6 - 1,12 км и СИП-4 2х16 - 0,4 км</v>
      </c>
      <c r="C42" s="125" t="str">
        <f>1!C40</f>
        <v>G_Gelezno_008</v>
      </c>
      <c r="D42" s="127">
        <f>3!H39</f>
        <v>1.2687627118644065</v>
      </c>
      <c r="E42" s="491">
        <f>3!I39</f>
        <v>1.0239200499999999</v>
      </c>
      <c r="F42" s="127"/>
      <c r="G42" s="127">
        <f t="shared" si="0"/>
        <v>1.2687627118644065</v>
      </c>
      <c r="H42" s="127"/>
      <c r="I42" s="127"/>
      <c r="J42" s="127">
        <f t="shared" si="1"/>
        <v>1.12</v>
      </c>
      <c r="K42" s="127"/>
      <c r="L42" s="127"/>
      <c r="M42" s="127"/>
      <c r="N42" s="127">
        <f t="shared" si="2"/>
        <v>1.0239200499999999</v>
      </c>
      <c r="O42" s="127"/>
      <c r="P42" s="127"/>
      <c r="Q42" s="127">
        <v>1.12</v>
      </c>
      <c r="R42" s="127"/>
      <c r="S42" s="127"/>
      <c r="T42" s="127"/>
      <c r="U42" s="127">
        <f t="shared" si="3"/>
        <v>1.2687627118644065</v>
      </c>
      <c r="V42" s="127"/>
      <c r="W42" s="127"/>
      <c r="X42" s="127">
        <f t="shared" si="4"/>
        <v>1.12</v>
      </c>
      <c r="Y42" s="127"/>
      <c r="Z42" s="127"/>
      <c r="AA42" s="127"/>
      <c r="AB42" s="127">
        <f t="shared" si="5"/>
        <v>1.0239200499999999</v>
      </c>
      <c r="AC42" s="127"/>
      <c r="AD42" s="127"/>
      <c r="AE42" s="127">
        <f t="shared" si="6"/>
        <v>1.12</v>
      </c>
      <c r="AF42" s="127"/>
      <c r="AG42" s="127"/>
      <c r="AH42" s="127"/>
      <c r="AI42" s="127">
        <f t="shared" si="7"/>
        <v>1.2687627118644065</v>
      </c>
      <c r="AJ42" s="127"/>
      <c r="AK42" s="127"/>
      <c r="AL42" s="127">
        <f t="shared" si="8"/>
        <v>1.12</v>
      </c>
      <c r="AM42" s="127"/>
      <c r="AN42" s="127"/>
      <c r="AO42" s="127"/>
      <c r="AP42" s="497">
        <f t="shared" si="9"/>
        <v>1.0239200499999999</v>
      </c>
      <c r="AQ42" s="127"/>
      <c r="AR42" s="127"/>
      <c r="AS42" s="497">
        <f t="shared" si="10"/>
        <v>1.12</v>
      </c>
      <c r="AT42" s="127"/>
      <c r="AU42" s="127"/>
      <c r="AV42" s="206" t="s">
        <v>247</v>
      </c>
    </row>
    <row r="43" spans="1:48" s="2" customFormat="1" ht="47.25">
      <c r="A43" s="238" t="str">
        <f>1!A41</f>
        <v>1.1</v>
      </c>
      <c r="B43" s="170" t="str">
        <f>1!B41</f>
        <v>Реконструкция ВЛ-0,4 кВ ул.Бахановича от ул.Чапаева, г.Желез-новодск, (и/н 0000283), СИП-2 3х35+1х54,6 - 0,836 км и СИП-4 2х16 - 1,306 км</v>
      </c>
      <c r="C43" s="125" t="str">
        <f>1!C41</f>
        <v>G_Gelezno_009</v>
      </c>
      <c r="D43" s="127">
        <f>3!H40</f>
        <v>0.9110140000000001</v>
      </c>
      <c r="E43" s="491">
        <f>3!I40</f>
        <v>0.89532672</v>
      </c>
      <c r="F43" s="127"/>
      <c r="G43" s="127">
        <f t="shared" si="0"/>
        <v>0.9110140000000001</v>
      </c>
      <c r="H43" s="127"/>
      <c r="I43" s="127"/>
      <c r="J43" s="127">
        <f t="shared" si="1"/>
        <v>0.836</v>
      </c>
      <c r="K43" s="127"/>
      <c r="L43" s="127"/>
      <c r="M43" s="127"/>
      <c r="N43" s="127">
        <f t="shared" si="2"/>
        <v>0.89532672</v>
      </c>
      <c r="O43" s="127"/>
      <c r="P43" s="127"/>
      <c r="Q43" s="127">
        <v>0.836</v>
      </c>
      <c r="R43" s="127"/>
      <c r="S43" s="127"/>
      <c r="T43" s="127"/>
      <c r="U43" s="127">
        <f t="shared" si="3"/>
        <v>0.9110140000000001</v>
      </c>
      <c r="V43" s="127"/>
      <c r="W43" s="127"/>
      <c r="X43" s="127">
        <f t="shared" si="4"/>
        <v>0.836</v>
      </c>
      <c r="Y43" s="127"/>
      <c r="Z43" s="127"/>
      <c r="AA43" s="127"/>
      <c r="AB43" s="127">
        <f t="shared" si="5"/>
        <v>0.89532672</v>
      </c>
      <c r="AC43" s="127"/>
      <c r="AD43" s="127"/>
      <c r="AE43" s="127">
        <f t="shared" si="6"/>
        <v>0.836</v>
      </c>
      <c r="AF43" s="127"/>
      <c r="AG43" s="127"/>
      <c r="AH43" s="127"/>
      <c r="AI43" s="127">
        <f t="shared" si="7"/>
        <v>0.9110140000000001</v>
      </c>
      <c r="AJ43" s="127"/>
      <c r="AK43" s="127"/>
      <c r="AL43" s="127">
        <f t="shared" si="8"/>
        <v>0.836</v>
      </c>
      <c r="AM43" s="127"/>
      <c r="AN43" s="127"/>
      <c r="AO43" s="127"/>
      <c r="AP43" s="497">
        <f t="shared" si="9"/>
        <v>0.89532672</v>
      </c>
      <c r="AQ43" s="127"/>
      <c r="AR43" s="127"/>
      <c r="AS43" s="497">
        <f t="shared" si="10"/>
        <v>0.836</v>
      </c>
      <c r="AT43" s="127"/>
      <c r="AU43" s="127"/>
      <c r="AV43" s="206" t="s">
        <v>247</v>
      </c>
    </row>
    <row r="44" spans="1:48" s="2" customFormat="1" ht="9" customHeight="1">
      <c r="A44" s="238"/>
      <c r="B44" s="125"/>
      <c r="C44" s="125"/>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497"/>
      <c r="AQ44" s="127"/>
      <c r="AR44" s="127"/>
      <c r="AS44" s="497"/>
      <c r="AT44" s="127"/>
      <c r="AU44" s="127"/>
      <c r="AV44" s="236"/>
    </row>
    <row r="45" spans="1:48" s="5" customFormat="1" ht="15.75">
      <c r="A45" s="239" t="str">
        <f>1!A43</f>
        <v>1.2</v>
      </c>
      <c r="B45" s="143" t="str">
        <f>1!B43</f>
        <v>Реконструкция трансформаторных и иных подстанций, всего, в том числе:</v>
      </c>
      <c r="C45" s="142" t="str">
        <f>1!C43</f>
        <v>Г</v>
      </c>
      <c r="D45" s="141">
        <f>SUM(D46:D47)</f>
        <v>0.61</v>
      </c>
      <c r="E45" s="141">
        <f>SUM(E46:E47)</f>
        <v>0.80412762</v>
      </c>
      <c r="F45" s="144"/>
      <c r="G45" s="141">
        <f>SUM(G46:G47)</f>
        <v>0.61</v>
      </c>
      <c r="H45" s="141">
        <f>SUM(H46:H47)</f>
        <v>0</v>
      </c>
      <c r="I45" s="141">
        <f>SUM(I46:I47)</f>
        <v>0</v>
      </c>
      <c r="J45" s="141">
        <f>SUM(J46:J47)</f>
        <v>0</v>
      </c>
      <c r="K45" s="141">
        <f>SUM(K46:K47)</f>
        <v>0</v>
      </c>
      <c r="L45" s="141"/>
      <c r="M45" s="144"/>
      <c r="N45" s="141">
        <f>SUM(N46:N47)</f>
        <v>0.80412762</v>
      </c>
      <c r="O45" s="141">
        <f>SUM(O46:O47)</f>
        <v>0</v>
      </c>
      <c r="P45" s="141">
        <f>SUM(P46:P47)</f>
        <v>0</v>
      </c>
      <c r="Q45" s="141">
        <f>SUM(Q46:Q47)</f>
        <v>0</v>
      </c>
      <c r="R45" s="141">
        <f>SUM(R46:R47)</f>
        <v>0</v>
      </c>
      <c r="S45" s="141"/>
      <c r="T45" s="144"/>
      <c r="U45" s="141">
        <f>SUM(U46:U47)</f>
        <v>0.61</v>
      </c>
      <c r="V45" s="141">
        <f>SUM(V46:V47)</f>
        <v>0</v>
      </c>
      <c r="W45" s="141">
        <f>SUM(W46:W47)</f>
        <v>0</v>
      </c>
      <c r="X45" s="141">
        <f>SUM(X46:X47)</f>
        <v>0</v>
      </c>
      <c r="Y45" s="141">
        <f>SUM(Y46:Y47)</f>
        <v>0</v>
      </c>
      <c r="Z45" s="141"/>
      <c r="AA45" s="144"/>
      <c r="AB45" s="141">
        <f>SUM(AB46:AB47)</f>
        <v>0.80412762</v>
      </c>
      <c r="AC45" s="141">
        <f>SUM(AC46:AC47)</f>
        <v>0</v>
      </c>
      <c r="AD45" s="141">
        <f>SUM(AD46:AD47)</f>
        <v>0</v>
      </c>
      <c r="AE45" s="141">
        <f>SUM(AE46:AE47)</f>
        <v>0</v>
      </c>
      <c r="AF45" s="141">
        <f>SUM(AF46:AF47)</f>
        <v>0</v>
      </c>
      <c r="AG45" s="141"/>
      <c r="AH45" s="144"/>
      <c r="AI45" s="141">
        <f>SUM(AI46:AI47)</f>
        <v>0.61</v>
      </c>
      <c r="AJ45" s="141">
        <f>SUM(AJ46:AJ47)</f>
        <v>0</v>
      </c>
      <c r="AK45" s="141">
        <f>SUM(AK46:AK47)</f>
        <v>0</v>
      </c>
      <c r="AL45" s="141">
        <f>SUM(AL46:AL47)</f>
        <v>0</v>
      </c>
      <c r="AM45" s="141">
        <f>SUM(AM46:AM47)</f>
        <v>0</v>
      </c>
      <c r="AN45" s="141"/>
      <c r="AO45" s="144"/>
      <c r="AP45" s="473">
        <f>SUM(AP46:AP47)</f>
        <v>0.80412762</v>
      </c>
      <c r="AQ45" s="141">
        <f>SUM(AQ46:AQ47)</f>
        <v>0</v>
      </c>
      <c r="AR45" s="141">
        <f>SUM(AR46:AR47)</f>
        <v>0</v>
      </c>
      <c r="AS45" s="473">
        <f>SUM(AS46:AS47)</f>
        <v>0</v>
      </c>
      <c r="AT45" s="141">
        <f>SUM(AT46:AT47)</f>
        <v>0</v>
      </c>
      <c r="AU45" s="141"/>
      <c r="AV45" s="240"/>
    </row>
    <row r="46" spans="1:48" s="2" customFormat="1" ht="47.25">
      <c r="A46" s="238" t="str">
        <f>1!A44</f>
        <v>1.2</v>
      </c>
      <c r="B46" s="170" t="str">
        <f>1!B44</f>
        <v>Реконструкция в ТП-187  (и/н 0001379) (камера сборная серии КСО-393-13-400 - 1 шт. и камера сборная серии КСО-393-01 - 1шт.)</v>
      </c>
      <c r="C46" s="125" t="str">
        <f>1!C44</f>
        <v>G_Gelezno_010</v>
      </c>
      <c r="D46" s="127">
        <f>3!H43</f>
        <v>0.61</v>
      </c>
      <c r="E46" s="491">
        <f>3!I43</f>
        <v>0.80412762</v>
      </c>
      <c r="F46" s="127"/>
      <c r="G46" s="127">
        <f>D46</f>
        <v>0.61</v>
      </c>
      <c r="H46" s="127"/>
      <c r="I46" s="127"/>
      <c r="J46" s="127"/>
      <c r="K46" s="127"/>
      <c r="L46" s="127"/>
      <c r="M46" s="127"/>
      <c r="N46" s="127">
        <f>E46</f>
        <v>0.80412762</v>
      </c>
      <c r="O46" s="127"/>
      <c r="P46" s="127"/>
      <c r="Q46" s="127"/>
      <c r="R46" s="127"/>
      <c r="S46" s="127"/>
      <c r="T46" s="127"/>
      <c r="U46" s="127">
        <f>D46</f>
        <v>0.61</v>
      </c>
      <c r="V46" s="127"/>
      <c r="W46" s="127"/>
      <c r="X46" s="127"/>
      <c r="Y46" s="127"/>
      <c r="Z46" s="127"/>
      <c r="AA46" s="127"/>
      <c r="AB46" s="127">
        <f>E46</f>
        <v>0.80412762</v>
      </c>
      <c r="AC46" s="127"/>
      <c r="AD46" s="127"/>
      <c r="AE46" s="498">
        <f>Q46</f>
        <v>0</v>
      </c>
      <c r="AF46" s="127"/>
      <c r="AG46" s="127"/>
      <c r="AH46" s="127"/>
      <c r="AI46" s="127">
        <f>D46</f>
        <v>0.61</v>
      </c>
      <c r="AJ46" s="127"/>
      <c r="AK46" s="127"/>
      <c r="AL46" s="127"/>
      <c r="AM46" s="127"/>
      <c r="AN46" s="127"/>
      <c r="AO46" s="127"/>
      <c r="AP46" s="497">
        <f>E46</f>
        <v>0.80412762</v>
      </c>
      <c r="AQ46" s="127"/>
      <c r="AR46" s="127"/>
      <c r="AS46" s="497"/>
      <c r="AT46" s="127"/>
      <c r="AU46" s="127"/>
      <c r="AV46" s="206" t="s">
        <v>247</v>
      </c>
    </row>
    <row r="47" spans="1:48" s="2" customFormat="1" ht="9" customHeight="1">
      <c r="A47" s="238"/>
      <c r="B47" s="125"/>
      <c r="C47" s="125"/>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497"/>
      <c r="AQ47" s="127"/>
      <c r="AR47" s="127"/>
      <c r="AS47" s="497"/>
      <c r="AT47" s="127"/>
      <c r="AU47" s="127"/>
      <c r="AV47" s="236"/>
    </row>
    <row r="48" spans="1:48" s="5" customFormat="1" ht="15.75">
      <c r="A48" s="239" t="str">
        <f>1!A46</f>
        <v>1.3</v>
      </c>
      <c r="B48" s="143" t="str">
        <f>1!B46</f>
        <v>Прочие инвестиционные проекты, всего, в том числе:</v>
      </c>
      <c r="C48" s="142" t="str">
        <f>1!C46</f>
        <v>Г</v>
      </c>
      <c r="D48" s="141">
        <f>SUM(D49:D51)</f>
        <v>2.5165542372881355</v>
      </c>
      <c r="E48" s="141">
        <f>SUM(E49:E51)</f>
        <v>2.4251556335593216</v>
      </c>
      <c r="F48" s="144"/>
      <c r="G48" s="141">
        <f>SUM(G49:G51)</f>
        <v>2.5165542372881355</v>
      </c>
      <c r="H48" s="141">
        <f>SUM(H49:H51)</f>
        <v>0</v>
      </c>
      <c r="I48" s="141">
        <f>SUM(I49:I51)</f>
        <v>0</v>
      </c>
      <c r="J48" s="141">
        <f>SUM(J49:J51)</f>
        <v>0</v>
      </c>
      <c r="K48" s="141">
        <f>SUM(K49:K51)</f>
        <v>0</v>
      </c>
      <c r="L48" s="141"/>
      <c r="M48" s="144"/>
      <c r="N48" s="141">
        <f>SUM(N49:N51)</f>
        <v>2.4251556335593216</v>
      </c>
      <c r="O48" s="141">
        <f>SUM(O49:O51)</f>
        <v>0</v>
      </c>
      <c r="P48" s="141">
        <f>SUM(P49:P51)</f>
        <v>0</v>
      </c>
      <c r="Q48" s="141">
        <f>SUM(Q49:Q51)</f>
        <v>0</v>
      </c>
      <c r="R48" s="141">
        <f>SUM(R49:R51)</f>
        <v>0</v>
      </c>
      <c r="S48" s="141"/>
      <c r="T48" s="144"/>
      <c r="U48" s="141">
        <f>SUM(U49:U51)</f>
        <v>2.5165542372881355</v>
      </c>
      <c r="V48" s="141">
        <f>SUM(V49:V51)</f>
        <v>0</v>
      </c>
      <c r="W48" s="141">
        <f>SUM(W49:W51)</f>
        <v>0</v>
      </c>
      <c r="X48" s="141">
        <f>SUM(X49:X51)</f>
        <v>0</v>
      </c>
      <c r="Y48" s="141">
        <f>SUM(Y49:Y51)</f>
        <v>0</v>
      </c>
      <c r="Z48" s="141"/>
      <c r="AA48" s="144"/>
      <c r="AB48" s="141">
        <f>SUM(AB49:AB51)</f>
        <v>2.4251556335593216</v>
      </c>
      <c r="AC48" s="141">
        <f>SUM(AC49:AC51)</f>
        <v>0</v>
      </c>
      <c r="AD48" s="141">
        <f>SUM(AD49:AD51)</f>
        <v>0</v>
      </c>
      <c r="AE48" s="141">
        <f>SUM(AE49:AE51)</f>
        <v>0</v>
      </c>
      <c r="AF48" s="141">
        <f>SUM(AF49:AF51)</f>
        <v>0</v>
      </c>
      <c r="AG48" s="141"/>
      <c r="AH48" s="144"/>
      <c r="AI48" s="141">
        <f>SUM(AI49:AI51)</f>
        <v>2.5165542372881355</v>
      </c>
      <c r="AJ48" s="141">
        <f>SUM(AJ49:AJ51)</f>
        <v>0</v>
      </c>
      <c r="AK48" s="141">
        <f>SUM(AK49:AK51)</f>
        <v>0</v>
      </c>
      <c r="AL48" s="141">
        <f>SUM(AL49:AL51)</f>
        <v>0</v>
      </c>
      <c r="AM48" s="141">
        <f>SUM(AM49:AM51)</f>
        <v>0</v>
      </c>
      <c r="AN48" s="141"/>
      <c r="AO48" s="144"/>
      <c r="AP48" s="473">
        <f>SUM(AP49:AP51)</f>
        <v>2.4251556335593216</v>
      </c>
      <c r="AQ48" s="141">
        <f>SUM(AQ49:AQ51)</f>
        <v>0</v>
      </c>
      <c r="AR48" s="141">
        <f>SUM(AR49:AR51)</f>
        <v>0</v>
      </c>
      <c r="AS48" s="473">
        <f>SUM(AS49:AS51)</f>
        <v>0</v>
      </c>
      <c r="AT48" s="141">
        <f>SUM(AT49:AT51)</f>
        <v>0</v>
      </c>
      <c r="AU48" s="141"/>
      <c r="AV48" s="240"/>
    </row>
    <row r="49" spans="1:48" s="2" customFormat="1" ht="31.5">
      <c r="A49" s="238" t="str">
        <f>1!A48</f>
        <v>1.3</v>
      </c>
      <c r="B49" s="170" t="str">
        <f>1!B47</f>
        <v>Внутренний контур системы коммерческого учёта АСКУЭ   в   ТП-40; 15; 185; 28; 9  и  РП-3; 4; 5; 6.</v>
      </c>
      <c r="C49" s="125" t="str">
        <f>1!C47</f>
        <v>G_Gelezno_011</v>
      </c>
      <c r="D49" s="127">
        <f>3!H46</f>
        <v>1.1013</v>
      </c>
      <c r="E49" s="491">
        <f>3!I46</f>
        <v>1.05535648</v>
      </c>
      <c r="F49" s="127"/>
      <c r="G49" s="127">
        <f>D49</f>
        <v>1.1013</v>
      </c>
      <c r="H49" s="127"/>
      <c r="I49" s="127"/>
      <c r="J49" s="127"/>
      <c r="K49" s="127"/>
      <c r="L49" s="127"/>
      <c r="M49" s="127"/>
      <c r="N49" s="127">
        <f>E49</f>
        <v>1.05535648</v>
      </c>
      <c r="O49" s="127"/>
      <c r="P49" s="127"/>
      <c r="Q49" s="127"/>
      <c r="R49" s="127"/>
      <c r="S49" s="127"/>
      <c r="T49" s="127"/>
      <c r="U49" s="127">
        <f>D49</f>
        <v>1.1013</v>
      </c>
      <c r="V49" s="127"/>
      <c r="W49" s="127"/>
      <c r="X49" s="127"/>
      <c r="Y49" s="127"/>
      <c r="Z49" s="127"/>
      <c r="AA49" s="127"/>
      <c r="AB49" s="127">
        <f>E49</f>
        <v>1.05535648</v>
      </c>
      <c r="AC49" s="127"/>
      <c r="AD49" s="127"/>
      <c r="AE49" s="127"/>
      <c r="AF49" s="127"/>
      <c r="AG49" s="127"/>
      <c r="AH49" s="127"/>
      <c r="AI49" s="127">
        <f>D49</f>
        <v>1.1013</v>
      </c>
      <c r="AJ49" s="127"/>
      <c r="AK49" s="127"/>
      <c r="AL49" s="127"/>
      <c r="AM49" s="127"/>
      <c r="AN49" s="127"/>
      <c r="AO49" s="127"/>
      <c r="AP49" s="497">
        <f>E49</f>
        <v>1.05535648</v>
      </c>
      <c r="AQ49" s="127"/>
      <c r="AR49" s="127"/>
      <c r="AS49" s="497"/>
      <c r="AT49" s="127"/>
      <c r="AU49" s="127"/>
      <c r="AV49" s="206" t="s">
        <v>247</v>
      </c>
    </row>
    <row r="50" spans="1:48" s="2" customFormat="1" ht="15.75">
      <c r="A50" s="238" t="str">
        <f>1!A48</f>
        <v>1.3</v>
      </c>
      <c r="B50" s="125" t="str">
        <f>1!B48</f>
        <v>Оборудование, не требующее монтажа</v>
      </c>
      <c r="C50" s="125" t="str">
        <f>1!C48</f>
        <v>G_Gelezno_012</v>
      </c>
      <c r="D50" s="127">
        <f>3!H47</f>
        <v>1.4152542372881356</v>
      </c>
      <c r="E50" s="491">
        <f>3!I47</f>
        <v>1.369799153559322</v>
      </c>
      <c r="F50" s="127"/>
      <c r="G50" s="127">
        <f>D50</f>
        <v>1.4152542372881356</v>
      </c>
      <c r="H50" s="127"/>
      <c r="I50" s="127"/>
      <c r="J50" s="127"/>
      <c r="K50" s="127"/>
      <c r="L50" s="127"/>
      <c r="M50" s="127"/>
      <c r="N50" s="127">
        <f>E50</f>
        <v>1.369799153559322</v>
      </c>
      <c r="O50" s="127"/>
      <c r="P50" s="127"/>
      <c r="Q50" s="127"/>
      <c r="R50" s="127"/>
      <c r="S50" s="127"/>
      <c r="T50" s="127"/>
      <c r="U50" s="127">
        <f>D50</f>
        <v>1.4152542372881356</v>
      </c>
      <c r="V50" s="127"/>
      <c r="W50" s="127"/>
      <c r="X50" s="127"/>
      <c r="Y50" s="127"/>
      <c r="Z50" s="127"/>
      <c r="AA50" s="127"/>
      <c r="AB50" s="127">
        <f>E50</f>
        <v>1.369799153559322</v>
      </c>
      <c r="AC50" s="127"/>
      <c r="AD50" s="127"/>
      <c r="AE50" s="127"/>
      <c r="AF50" s="127"/>
      <c r="AG50" s="127"/>
      <c r="AH50" s="127"/>
      <c r="AI50" s="127">
        <f>D50</f>
        <v>1.4152542372881356</v>
      </c>
      <c r="AJ50" s="127"/>
      <c r="AK50" s="127"/>
      <c r="AL50" s="127"/>
      <c r="AM50" s="127"/>
      <c r="AN50" s="127"/>
      <c r="AO50" s="127"/>
      <c r="AP50" s="497">
        <f>E50</f>
        <v>1.369799153559322</v>
      </c>
      <c r="AQ50" s="127"/>
      <c r="AR50" s="127"/>
      <c r="AS50" s="497"/>
      <c r="AT50" s="127"/>
      <c r="AU50" s="127"/>
      <c r="AV50" s="206" t="s">
        <v>247</v>
      </c>
    </row>
    <row r="51" spans="1:48" s="2" customFormat="1" ht="9" customHeight="1">
      <c r="A51" s="238"/>
      <c r="B51" s="125"/>
      <c r="C51" s="125"/>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497"/>
      <c r="AQ51" s="127"/>
      <c r="AR51" s="127"/>
      <c r="AS51" s="497"/>
      <c r="AT51" s="127"/>
      <c r="AU51" s="127"/>
      <c r="AV51" s="236"/>
    </row>
    <row r="52" spans="1:48" s="5" customFormat="1" ht="15.75">
      <c r="A52" s="239" t="str">
        <f>1!A50</f>
        <v>1.4</v>
      </c>
      <c r="B52" s="351" t="str">
        <f>1!B50</f>
        <v>Новое строительство, всего, в том числе:</v>
      </c>
      <c r="C52" s="142" t="str">
        <f>1!C50</f>
        <v>Г</v>
      </c>
      <c r="D52" s="141">
        <f>D53+D55</f>
        <v>17.350434849152542</v>
      </c>
      <c r="E52" s="141">
        <f>E53+E55</f>
        <v>17.52070265</v>
      </c>
      <c r="F52" s="144"/>
      <c r="G52" s="141">
        <f>G53+G55</f>
        <v>17.350434849152542</v>
      </c>
      <c r="H52" s="141">
        <f>H53+H55</f>
        <v>1.38</v>
      </c>
      <c r="I52" s="141"/>
      <c r="J52" s="141">
        <f>J53+J55</f>
        <v>7.872</v>
      </c>
      <c r="K52" s="141"/>
      <c r="L52" s="141"/>
      <c r="M52" s="144"/>
      <c r="N52" s="141">
        <f>N53+N55</f>
        <v>17.52070265</v>
      </c>
      <c r="O52" s="141">
        <f>O53+O55</f>
        <v>1.38</v>
      </c>
      <c r="P52" s="141"/>
      <c r="Q52" s="141">
        <f>Q53+Q55</f>
        <v>7.872</v>
      </c>
      <c r="R52" s="141"/>
      <c r="S52" s="141"/>
      <c r="T52" s="144"/>
      <c r="U52" s="141">
        <f>U53+U55</f>
        <v>17.350434849152542</v>
      </c>
      <c r="V52" s="141">
        <f>V53+V55</f>
        <v>1.38</v>
      </c>
      <c r="W52" s="141"/>
      <c r="X52" s="141">
        <f>X53+X55</f>
        <v>7.872</v>
      </c>
      <c r="Y52" s="141"/>
      <c r="Z52" s="141"/>
      <c r="AA52" s="144"/>
      <c r="AB52" s="141">
        <f>AB53+AB55</f>
        <v>17.52070265</v>
      </c>
      <c r="AC52" s="141">
        <f>AC53+AC55</f>
        <v>1.38</v>
      </c>
      <c r="AD52" s="141"/>
      <c r="AE52" s="141">
        <f>AE53+AE55</f>
        <v>7.872</v>
      </c>
      <c r="AF52" s="141"/>
      <c r="AG52" s="141"/>
      <c r="AH52" s="144"/>
      <c r="AI52" s="141">
        <f>AI53+AI55</f>
        <v>17.350434849152542</v>
      </c>
      <c r="AJ52" s="141">
        <f>AJ53+AJ55</f>
        <v>1.38</v>
      </c>
      <c r="AK52" s="141"/>
      <c r="AL52" s="141">
        <f>AL53+AL55</f>
        <v>7.872</v>
      </c>
      <c r="AM52" s="141"/>
      <c r="AN52" s="141"/>
      <c r="AO52" s="144"/>
      <c r="AP52" s="473">
        <f>AP53+AP55</f>
        <v>17.52070265</v>
      </c>
      <c r="AQ52" s="141">
        <f>AQ53+AQ55</f>
        <v>1.38</v>
      </c>
      <c r="AR52" s="141"/>
      <c r="AS52" s="473">
        <f>AS53+AS55</f>
        <v>7.872</v>
      </c>
      <c r="AT52" s="141"/>
      <c r="AU52" s="141"/>
      <c r="AV52" s="240"/>
    </row>
    <row r="53" spans="1:48" s="5" customFormat="1" ht="31.5">
      <c r="A53" s="239" t="str">
        <f>1!A51</f>
        <v>1.4.1</v>
      </c>
      <c r="B53" s="351" t="str">
        <f>1!B51</f>
        <v>Прочее новое строительство объектов электросетевого хозяйства</v>
      </c>
      <c r="C53" s="125"/>
      <c r="D53" s="492">
        <f>D54</f>
        <v>6.2898049491525425</v>
      </c>
      <c r="E53" s="144">
        <f>3!I50</f>
        <v>6.46007275</v>
      </c>
      <c r="F53" s="127"/>
      <c r="G53" s="492">
        <f>D53</f>
        <v>6.2898049491525425</v>
      </c>
      <c r="H53" s="127"/>
      <c r="I53" s="127"/>
      <c r="J53" s="144">
        <f>J54</f>
        <v>2.244</v>
      </c>
      <c r="K53" s="127"/>
      <c r="L53" s="127"/>
      <c r="M53" s="127"/>
      <c r="N53" s="144">
        <f>E53</f>
        <v>6.46007275</v>
      </c>
      <c r="O53" s="127"/>
      <c r="P53" s="127"/>
      <c r="Q53" s="144">
        <f>Q54</f>
        <v>2.244</v>
      </c>
      <c r="R53" s="127"/>
      <c r="S53" s="127"/>
      <c r="T53" s="127"/>
      <c r="U53" s="492">
        <f>U54</f>
        <v>6.2898049491525425</v>
      </c>
      <c r="V53" s="127"/>
      <c r="W53" s="127"/>
      <c r="X53" s="144">
        <f>X54</f>
        <v>2.244</v>
      </c>
      <c r="Y53" s="127"/>
      <c r="Z53" s="127"/>
      <c r="AA53" s="127"/>
      <c r="AB53" s="144">
        <f>E53</f>
        <v>6.46007275</v>
      </c>
      <c r="AC53" s="127"/>
      <c r="AD53" s="127"/>
      <c r="AE53" s="144">
        <f>Q53</f>
        <v>2.244</v>
      </c>
      <c r="AF53" s="127"/>
      <c r="AG53" s="127"/>
      <c r="AH53" s="127"/>
      <c r="AI53" s="492">
        <f>AI54</f>
        <v>6.2898049491525425</v>
      </c>
      <c r="AJ53" s="127"/>
      <c r="AK53" s="127"/>
      <c r="AL53" s="144">
        <f>AL54</f>
        <v>2.244</v>
      </c>
      <c r="AM53" s="127"/>
      <c r="AN53" s="127"/>
      <c r="AO53" s="127"/>
      <c r="AP53" s="496">
        <f>E53</f>
        <v>6.46007275</v>
      </c>
      <c r="AQ53" s="127"/>
      <c r="AR53" s="127"/>
      <c r="AS53" s="496">
        <f>Q53</f>
        <v>2.244</v>
      </c>
      <c r="AT53" s="127"/>
      <c r="AU53" s="127"/>
      <c r="AV53" s="206" t="s">
        <v>247</v>
      </c>
    </row>
    <row r="54" spans="1:48" s="2" customFormat="1" ht="31.5">
      <c r="A54" s="238" t="str">
        <f>1!A52</f>
        <v>1.4.1.1</v>
      </c>
      <c r="B54" s="170" t="str">
        <f>1!B52</f>
        <v>Строительство КЛ-10 кВ, Ф-187(С-2) от ПС"Машук" до ТП-187, п.Иноземцево , L=2,244 км (ААБлУ 3х240)</v>
      </c>
      <c r="C54" s="125" t="str">
        <f>1!C52</f>
        <v>G_Gelezno_013</v>
      </c>
      <c r="D54" s="127">
        <f>3!H51</f>
        <v>6.2898049491525425</v>
      </c>
      <c r="E54" s="491">
        <f>3!I51</f>
        <v>6.46007275</v>
      </c>
      <c r="F54" s="127"/>
      <c r="G54" s="127">
        <f>D54</f>
        <v>6.2898049491525425</v>
      </c>
      <c r="H54" s="127"/>
      <c r="I54" s="127"/>
      <c r="J54" s="127">
        <f>Q54</f>
        <v>2.244</v>
      </c>
      <c r="K54" s="127"/>
      <c r="L54" s="127"/>
      <c r="M54" s="127"/>
      <c r="N54" s="491">
        <f>E54</f>
        <v>6.46007275</v>
      </c>
      <c r="O54" s="127"/>
      <c r="P54" s="127"/>
      <c r="Q54" s="127">
        <v>2.244</v>
      </c>
      <c r="R54" s="127"/>
      <c r="S54" s="127"/>
      <c r="T54" s="127"/>
      <c r="U54" s="127">
        <f>D54</f>
        <v>6.2898049491525425</v>
      </c>
      <c r="V54" s="127"/>
      <c r="W54" s="127"/>
      <c r="X54" s="127">
        <f>J54</f>
        <v>2.244</v>
      </c>
      <c r="Y54" s="127"/>
      <c r="Z54" s="127"/>
      <c r="AA54" s="127"/>
      <c r="AB54" s="127"/>
      <c r="AC54" s="127"/>
      <c r="AD54" s="127"/>
      <c r="AE54" s="127"/>
      <c r="AF54" s="127"/>
      <c r="AG54" s="127"/>
      <c r="AH54" s="127"/>
      <c r="AI54" s="127">
        <f>U54</f>
        <v>6.2898049491525425</v>
      </c>
      <c r="AJ54" s="127"/>
      <c r="AK54" s="127"/>
      <c r="AL54" s="127">
        <f>J54</f>
        <v>2.244</v>
      </c>
      <c r="AM54" s="127"/>
      <c r="AN54" s="127"/>
      <c r="AO54" s="127"/>
      <c r="AP54" s="497"/>
      <c r="AQ54" s="127"/>
      <c r="AR54" s="127"/>
      <c r="AS54" s="497"/>
      <c r="AT54" s="127"/>
      <c r="AU54" s="127"/>
      <c r="AV54" s="206" t="s">
        <v>247</v>
      </c>
    </row>
    <row r="55" spans="1:48" s="2" customFormat="1" ht="31.5">
      <c r="A55" s="239" t="str">
        <f>1!A53</f>
        <v>1.4.2</v>
      </c>
      <c r="B55" s="351" t="str">
        <f>1!B53</f>
        <v>Прочее новое строительство, в счёт тех.присоединений</v>
      </c>
      <c r="C55" s="394"/>
      <c r="D55" s="141">
        <f>SUM(D56:D92)</f>
        <v>11.0606299</v>
      </c>
      <c r="E55" s="141">
        <f>SUM(E56:E92)</f>
        <v>11.0606299</v>
      </c>
      <c r="F55" s="404"/>
      <c r="G55" s="141">
        <f>SUM(G56:G92)</f>
        <v>11.0606299</v>
      </c>
      <c r="H55" s="141">
        <f>SUM(H56:H92)</f>
        <v>1.38</v>
      </c>
      <c r="I55" s="404"/>
      <c r="J55" s="141">
        <f>SUM(J56:J92)</f>
        <v>5.628</v>
      </c>
      <c r="K55" s="404"/>
      <c r="L55" s="404"/>
      <c r="M55" s="404"/>
      <c r="N55" s="141">
        <f>SUM(N56:N92)</f>
        <v>11.0606299</v>
      </c>
      <c r="O55" s="141">
        <f>SUM(O56:O92)</f>
        <v>1.38</v>
      </c>
      <c r="P55" s="404"/>
      <c r="Q55" s="141">
        <f>SUM(Q56:Q92)</f>
        <v>5.628</v>
      </c>
      <c r="R55" s="404"/>
      <c r="S55" s="404"/>
      <c r="T55" s="404"/>
      <c r="U55" s="141">
        <f>SUM(U56:U92)</f>
        <v>11.0606299</v>
      </c>
      <c r="V55" s="141">
        <f>SUM(V56:V92)</f>
        <v>1.38</v>
      </c>
      <c r="W55" s="404"/>
      <c r="X55" s="141">
        <f>SUM(X56:X92)</f>
        <v>5.628</v>
      </c>
      <c r="Y55" s="404"/>
      <c r="Z55" s="404"/>
      <c r="AA55" s="404"/>
      <c r="AB55" s="141">
        <f>SUM(AB56:AB92)</f>
        <v>11.0606299</v>
      </c>
      <c r="AC55" s="141">
        <f>SUM(AC56:AC92)</f>
        <v>1.38</v>
      </c>
      <c r="AD55" s="404"/>
      <c r="AE55" s="141">
        <f>SUM(AE56:AE92)</f>
        <v>5.628</v>
      </c>
      <c r="AF55" s="404"/>
      <c r="AG55" s="404"/>
      <c r="AH55" s="404"/>
      <c r="AI55" s="141">
        <f>SUM(AI56:AI92)</f>
        <v>11.0606299</v>
      </c>
      <c r="AJ55" s="141">
        <f>SUM(AJ56:AJ92)</f>
        <v>1.38</v>
      </c>
      <c r="AK55" s="404"/>
      <c r="AL55" s="141">
        <f>SUM(AL56:AL92)</f>
        <v>5.628</v>
      </c>
      <c r="AM55" s="404"/>
      <c r="AN55" s="404"/>
      <c r="AO55" s="404"/>
      <c r="AP55" s="473">
        <f>SUM(AP56:AP92)</f>
        <v>11.0606299</v>
      </c>
      <c r="AQ55" s="473">
        <f>SUM(AQ56:AQ92)</f>
        <v>1.38</v>
      </c>
      <c r="AR55" s="404"/>
      <c r="AS55" s="473">
        <f>SUM(AS56:AS92)</f>
        <v>5.628</v>
      </c>
      <c r="AT55" s="404"/>
      <c r="AU55" s="404"/>
      <c r="AV55" s="395"/>
    </row>
    <row r="56" spans="1:48" s="2" customFormat="1" ht="47.25">
      <c r="A56" s="238" t="str">
        <f>1!A54</f>
        <v>1.4.2.1</v>
      </c>
      <c r="B56" s="170" t="str">
        <f>1!B54</f>
        <v>Строительство ВЛ-0,4 кВ от РУ-0,4 кВ ТП-185 до ВРУ офисного здания ул.Пушкина,2А, п.Иноземцево, L=0,235 км (СИП-2 3х50+1х54)</v>
      </c>
      <c r="C56" s="506" t="str">
        <f>1!C54</f>
        <v>G_Gelezno_ТР1</v>
      </c>
      <c r="D56" s="127">
        <f>3!H53</f>
        <v>0.16058668</v>
      </c>
      <c r="E56" s="493">
        <f>3!I53</f>
        <v>0.16058668</v>
      </c>
      <c r="F56" s="404"/>
      <c r="G56" s="404">
        <f aca="true" t="shared" si="11" ref="G56:G92">D56</f>
        <v>0.16058668</v>
      </c>
      <c r="H56" s="404"/>
      <c r="I56" s="404"/>
      <c r="J56" s="404">
        <f aca="true" t="shared" si="12" ref="J56:J91">Q56</f>
        <v>0.235</v>
      </c>
      <c r="K56" s="404"/>
      <c r="L56" s="404"/>
      <c r="M56" s="404"/>
      <c r="N56" s="493">
        <f aca="true" t="shared" si="13" ref="N56:N92">E56</f>
        <v>0.16058668</v>
      </c>
      <c r="O56" s="404"/>
      <c r="P56" s="404"/>
      <c r="Q56" s="404">
        <v>0.235</v>
      </c>
      <c r="R56" s="404"/>
      <c r="S56" s="404"/>
      <c r="T56" s="404"/>
      <c r="U56" s="404">
        <f aca="true" t="shared" si="14" ref="U56:U92">D56</f>
        <v>0.16058668</v>
      </c>
      <c r="V56" s="404"/>
      <c r="W56" s="404"/>
      <c r="X56" s="404">
        <f aca="true" t="shared" si="15" ref="X56:X91">J56</f>
        <v>0.235</v>
      </c>
      <c r="Y56" s="404"/>
      <c r="Z56" s="404"/>
      <c r="AA56" s="404"/>
      <c r="AB56" s="404">
        <f aca="true" t="shared" si="16" ref="AB56:AB92">E56</f>
        <v>0.16058668</v>
      </c>
      <c r="AC56" s="404"/>
      <c r="AD56" s="404"/>
      <c r="AE56" s="404">
        <f aca="true" t="shared" si="17" ref="AE56:AE91">Q56</f>
        <v>0.235</v>
      </c>
      <c r="AF56" s="404"/>
      <c r="AG56" s="404"/>
      <c r="AH56" s="404"/>
      <c r="AI56" s="404">
        <f aca="true" t="shared" si="18" ref="AI56:AI92">D56</f>
        <v>0.16058668</v>
      </c>
      <c r="AJ56" s="404"/>
      <c r="AK56" s="404"/>
      <c r="AL56" s="404">
        <f aca="true" t="shared" si="19" ref="AL56:AL91">J56</f>
        <v>0.235</v>
      </c>
      <c r="AM56" s="404"/>
      <c r="AN56" s="404"/>
      <c r="AO56" s="404"/>
      <c r="AP56" s="495">
        <f aca="true" t="shared" si="20" ref="AP56:AP92">E56</f>
        <v>0.16058668</v>
      </c>
      <c r="AQ56" s="404"/>
      <c r="AR56" s="404"/>
      <c r="AS56" s="495">
        <f aca="true" t="shared" si="21" ref="AS56:AS91">Q56</f>
        <v>0.235</v>
      </c>
      <c r="AT56" s="404"/>
      <c r="AU56" s="404"/>
      <c r="AV56" s="206" t="s">
        <v>247</v>
      </c>
    </row>
    <row r="57" spans="1:48" s="2" customFormat="1" ht="47.25">
      <c r="A57" s="238" t="str">
        <f>1!A55</f>
        <v>1.4.2.2</v>
      </c>
      <c r="B57" s="170" t="str">
        <f>1!B55</f>
        <v>Строительство КЛ-0,4 кВ от РУ-0,4 кВ ТП-18 (С1) до ВРУ МКЖД ул.Косякина (район дома № 49), г.Железноводск, (Линия 1), L=0,143 км (ААБл 4х120)</v>
      </c>
      <c r="C57" s="506" t="str">
        <f>1!C55</f>
        <v>G_Gelezno_ТР2</v>
      </c>
      <c r="D57" s="127">
        <f>3!H54</f>
        <v>0.16769563</v>
      </c>
      <c r="E57" s="493">
        <f>3!I54</f>
        <v>0.16769563</v>
      </c>
      <c r="F57" s="404"/>
      <c r="G57" s="404">
        <f t="shared" si="11"/>
        <v>0.16769563</v>
      </c>
      <c r="H57" s="404"/>
      <c r="I57" s="404"/>
      <c r="J57" s="404">
        <f t="shared" si="12"/>
        <v>0.143</v>
      </c>
      <c r="K57" s="404"/>
      <c r="L57" s="404"/>
      <c r="M57" s="404"/>
      <c r="N57" s="493">
        <f t="shared" si="13"/>
        <v>0.16769563</v>
      </c>
      <c r="O57" s="404"/>
      <c r="P57" s="404"/>
      <c r="Q57" s="404">
        <v>0.143</v>
      </c>
      <c r="R57" s="404"/>
      <c r="S57" s="404"/>
      <c r="T57" s="404"/>
      <c r="U57" s="404">
        <f t="shared" si="14"/>
        <v>0.16769563</v>
      </c>
      <c r="V57" s="404"/>
      <c r="W57" s="404"/>
      <c r="X57" s="404">
        <f t="shared" si="15"/>
        <v>0.143</v>
      </c>
      <c r="Y57" s="404"/>
      <c r="Z57" s="404"/>
      <c r="AA57" s="404"/>
      <c r="AB57" s="404">
        <f t="shared" si="16"/>
        <v>0.16769563</v>
      </c>
      <c r="AC57" s="404"/>
      <c r="AD57" s="404"/>
      <c r="AE57" s="404">
        <f t="shared" si="17"/>
        <v>0.143</v>
      </c>
      <c r="AF57" s="404"/>
      <c r="AG57" s="404"/>
      <c r="AH57" s="404"/>
      <c r="AI57" s="404">
        <f t="shared" si="18"/>
        <v>0.16769563</v>
      </c>
      <c r="AJ57" s="404"/>
      <c r="AK57" s="404"/>
      <c r="AL57" s="404">
        <f t="shared" si="19"/>
        <v>0.143</v>
      </c>
      <c r="AM57" s="404"/>
      <c r="AN57" s="404"/>
      <c r="AO57" s="404"/>
      <c r="AP57" s="495">
        <f t="shared" si="20"/>
        <v>0.16769563</v>
      </c>
      <c r="AQ57" s="404"/>
      <c r="AR57" s="404"/>
      <c r="AS57" s="495">
        <f t="shared" si="21"/>
        <v>0.143</v>
      </c>
      <c r="AT57" s="404"/>
      <c r="AU57" s="404"/>
      <c r="AV57" s="206" t="s">
        <v>247</v>
      </c>
    </row>
    <row r="58" spans="1:48" s="2" customFormat="1" ht="47.25">
      <c r="A58" s="238" t="str">
        <f>1!A56</f>
        <v>1.4.2.3</v>
      </c>
      <c r="B58" s="170" t="str">
        <f>1!B56</f>
        <v>Строительство КЛ-0,4 кВ от РУ-0,4 кВ ТП-18 (С2) до ВРУ МКЖД ул.Косякина (район дома № 49), г.Железноводск, (Линия 2), L=0,143 км (ААБл 4х120)</v>
      </c>
      <c r="C58" s="506" t="str">
        <f>1!C56</f>
        <v>G_Gelezno_ТР3</v>
      </c>
      <c r="D58" s="127">
        <f>3!H55</f>
        <v>0.14940692</v>
      </c>
      <c r="E58" s="493">
        <f>3!I55</f>
        <v>0.14940692</v>
      </c>
      <c r="F58" s="404"/>
      <c r="G58" s="404">
        <f t="shared" si="11"/>
        <v>0.14940692</v>
      </c>
      <c r="H58" s="404"/>
      <c r="I58" s="404"/>
      <c r="J58" s="404">
        <f t="shared" si="12"/>
        <v>0.143</v>
      </c>
      <c r="K58" s="404"/>
      <c r="L58" s="404"/>
      <c r="M58" s="404"/>
      <c r="N58" s="493">
        <f t="shared" si="13"/>
        <v>0.14940692</v>
      </c>
      <c r="O58" s="404"/>
      <c r="P58" s="404"/>
      <c r="Q58" s="404">
        <v>0.143</v>
      </c>
      <c r="R58" s="404"/>
      <c r="S58" s="404"/>
      <c r="T58" s="404"/>
      <c r="U58" s="404">
        <f t="shared" si="14"/>
        <v>0.14940692</v>
      </c>
      <c r="V58" s="404"/>
      <c r="W58" s="404"/>
      <c r="X58" s="404">
        <f t="shared" si="15"/>
        <v>0.143</v>
      </c>
      <c r="Y58" s="404"/>
      <c r="Z58" s="404"/>
      <c r="AA58" s="404"/>
      <c r="AB58" s="404">
        <f t="shared" si="16"/>
        <v>0.14940692</v>
      </c>
      <c r="AC58" s="404"/>
      <c r="AD58" s="404"/>
      <c r="AE58" s="404">
        <f t="shared" si="17"/>
        <v>0.143</v>
      </c>
      <c r="AF58" s="404"/>
      <c r="AG58" s="404"/>
      <c r="AH58" s="404"/>
      <c r="AI58" s="404">
        <f t="shared" si="18"/>
        <v>0.14940692</v>
      </c>
      <c r="AJ58" s="404"/>
      <c r="AK58" s="404"/>
      <c r="AL58" s="404">
        <f t="shared" si="19"/>
        <v>0.143</v>
      </c>
      <c r="AM58" s="404"/>
      <c r="AN58" s="404"/>
      <c r="AO58" s="404"/>
      <c r="AP58" s="495">
        <f t="shared" si="20"/>
        <v>0.14940692</v>
      </c>
      <c r="AQ58" s="404"/>
      <c r="AR58" s="404"/>
      <c r="AS58" s="495">
        <f t="shared" si="21"/>
        <v>0.143</v>
      </c>
      <c r="AT58" s="404"/>
      <c r="AU58" s="404"/>
      <c r="AV58" s="206" t="s">
        <v>247</v>
      </c>
    </row>
    <row r="59" spans="1:48" s="2" customFormat="1" ht="31.5">
      <c r="A59" s="238" t="str">
        <f>1!A57</f>
        <v>1.4.2.4</v>
      </c>
      <c r="B59" s="170" t="str">
        <f>1!B57</f>
        <v>Строительство КТП-247 в районе озера "Карас", п.Иноземцево (250 кВА)</v>
      </c>
      <c r="C59" s="506" t="str">
        <f>1!C57</f>
        <v>G_Gelezno_ТР4</v>
      </c>
      <c r="D59" s="127">
        <f>3!H56</f>
        <v>0.82485979</v>
      </c>
      <c r="E59" s="493">
        <f>3!I56</f>
        <v>0.82485979</v>
      </c>
      <c r="F59" s="404"/>
      <c r="G59" s="404">
        <f t="shared" si="11"/>
        <v>0.82485979</v>
      </c>
      <c r="H59" s="404">
        <f>O59</f>
        <v>0.25</v>
      </c>
      <c r="I59" s="404"/>
      <c r="J59" s="404"/>
      <c r="K59" s="404"/>
      <c r="L59" s="404"/>
      <c r="M59" s="404"/>
      <c r="N59" s="493">
        <f t="shared" si="13"/>
        <v>0.82485979</v>
      </c>
      <c r="O59" s="404">
        <v>0.25</v>
      </c>
      <c r="P59" s="404"/>
      <c r="Q59" s="404"/>
      <c r="R59" s="404"/>
      <c r="S59" s="404"/>
      <c r="T59" s="404"/>
      <c r="U59" s="404">
        <f t="shared" si="14"/>
        <v>0.82485979</v>
      </c>
      <c r="V59" s="404">
        <f>AC59</f>
        <v>0.25</v>
      </c>
      <c r="W59" s="404"/>
      <c r="X59" s="404"/>
      <c r="Y59" s="404"/>
      <c r="Z59" s="404"/>
      <c r="AA59" s="404"/>
      <c r="AB59" s="404">
        <f t="shared" si="16"/>
        <v>0.82485979</v>
      </c>
      <c r="AC59" s="404">
        <f>O59</f>
        <v>0.25</v>
      </c>
      <c r="AD59" s="404"/>
      <c r="AE59" s="404"/>
      <c r="AF59" s="404"/>
      <c r="AG59" s="404"/>
      <c r="AH59" s="404"/>
      <c r="AI59" s="404">
        <f t="shared" si="18"/>
        <v>0.82485979</v>
      </c>
      <c r="AJ59" s="404">
        <f>H59</f>
        <v>0.25</v>
      </c>
      <c r="AK59" s="404"/>
      <c r="AL59" s="404"/>
      <c r="AM59" s="404"/>
      <c r="AN59" s="404"/>
      <c r="AO59" s="404"/>
      <c r="AP59" s="495">
        <f t="shared" si="20"/>
        <v>0.82485979</v>
      </c>
      <c r="AQ59" s="404">
        <f>O59</f>
        <v>0.25</v>
      </c>
      <c r="AR59" s="404"/>
      <c r="AS59" s="495"/>
      <c r="AT59" s="404"/>
      <c r="AU59" s="404"/>
      <c r="AV59" s="206" t="s">
        <v>247</v>
      </c>
    </row>
    <row r="60" spans="1:48" s="2" customFormat="1" ht="63">
      <c r="A60" s="238" t="str">
        <f>1!A58</f>
        <v>1.4.2.5</v>
      </c>
      <c r="B60" s="170"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60" s="506" t="str">
        <f>1!C58</f>
        <v>G_Gelezno_ТР5</v>
      </c>
      <c r="D60" s="127">
        <f>3!H57</f>
        <v>0.08466576</v>
      </c>
      <c r="E60" s="493">
        <f>3!I57</f>
        <v>0.08466576</v>
      </c>
      <c r="F60" s="404"/>
      <c r="G60" s="404">
        <f t="shared" si="11"/>
        <v>0.08466576</v>
      </c>
      <c r="H60" s="404"/>
      <c r="I60" s="404"/>
      <c r="J60" s="404">
        <f t="shared" si="12"/>
        <v>0.11</v>
      </c>
      <c r="K60" s="404"/>
      <c r="L60" s="404"/>
      <c r="M60" s="404"/>
      <c r="N60" s="493">
        <f t="shared" si="13"/>
        <v>0.08466576</v>
      </c>
      <c r="O60" s="404"/>
      <c r="P60" s="404"/>
      <c r="Q60" s="404">
        <v>0.11</v>
      </c>
      <c r="R60" s="404"/>
      <c r="S60" s="404"/>
      <c r="T60" s="404"/>
      <c r="U60" s="404">
        <f t="shared" si="14"/>
        <v>0.08466576</v>
      </c>
      <c r="V60" s="404"/>
      <c r="W60" s="404"/>
      <c r="X60" s="404">
        <f t="shared" si="15"/>
        <v>0.11</v>
      </c>
      <c r="Y60" s="404"/>
      <c r="Z60" s="404"/>
      <c r="AA60" s="404"/>
      <c r="AB60" s="404">
        <f t="shared" si="16"/>
        <v>0.08466576</v>
      </c>
      <c r="AC60" s="404"/>
      <c r="AD60" s="404"/>
      <c r="AE60" s="404">
        <f t="shared" si="17"/>
        <v>0.11</v>
      </c>
      <c r="AF60" s="404"/>
      <c r="AG60" s="404"/>
      <c r="AH60" s="404"/>
      <c r="AI60" s="404">
        <f t="shared" si="18"/>
        <v>0.08466576</v>
      </c>
      <c r="AJ60" s="404"/>
      <c r="AK60" s="404"/>
      <c r="AL60" s="404">
        <f t="shared" si="19"/>
        <v>0.11</v>
      </c>
      <c r="AM60" s="404"/>
      <c r="AN60" s="404"/>
      <c r="AO60" s="404"/>
      <c r="AP60" s="495">
        <f t="shared" si="20"/>
        <v>0.08466576</v>
      </c>
      <c r="AQ60" s="404"/>
      <c r="AR60" s="404"/>
      <c r="AS60" s="495">
        <f t="shared" si="21"/>
        <v>0.11</v>
      </c>
      <c r="AT60" s="404"/>
      <c r="AU60" s="404"/>
      <c r="AV60" s="206" t="s">
        <v>247</v>
      </c>
    </row>
    <row r="61" spans="1:48" s="2" customFormat="1" ht="31.5">
      <c r="A61" s="238" t="str">
        <f>1!A59</f>
        <v>1.4.2.6</v>
      </c>
      <c r="B61" s="170" t="str">
        <f>1!B59</f>
        <v>Строительство КЛ-10 кВ от РУ-10 кВ КТП-224 до КТП-247, п.Иноземцево, L=0,918 км (АСБ 3х120)</v>
      </c>
      <c r="C61" s="506" t="str">
        <f>1!C59</f>
        <v>G_Gelezno_ТР6</v>
      </c>
      <c r="D61" s="127">
        <f>3!H58</f>
        <v>2.03071381</v>
      </c>
      <c r="E61" s="493">
        <f>3!I58</f>
        <v>2.03071381</v>
      </c>
      <c r="F61" s="404"/>
      <c r="G61" s="404">
        <f t="shared" si="11"/>
        <v>2.03071381</v>
      </c>
      <c r="H61" s="404"/>
      <c r="I61" s="404"/>
      <c r="J61" s="404">
        <f t="shared" si="12"/>
        <v>0.918</v>
      </c>
      <c r="K61" s="404"/>
      <c r="L61" s="404"/>
      <c r="M61" s="404"/>
      <c r="N61" s="493">
        <f t="shared" si="13"/>
        <v>2.03071381</v>
      </c>
      <c r="O61" s="404"/>
      <c r="P61" s="404"/>
      <c r="Q61" s="404">
        <v>0.918</v>
      </c>
      <c r="R61" s="404"/>
      <c r="S61" s="404"/>
      <c r="T61" s="404"/>
      <c r="U61" s="404">
        <f t="shared" si="14"/>
        <v>2.03071381</v>
      </c>
      <c r="V61" s="404"/>
      <c r="W61" s="404"/>
      <c r="X61" s="404">
        <f t="shared" si="15"/>
        <v>0.918</v>
      </c>
      <c r="Y61" s="404"/>
      <c r="Z61" s="404"/>
      <c r="AA61" s="404"/>
      <c r="AB61" s="404">
        <f t="shared" si="16"/>
        <v>2.03071381</v>
      </c>
      <c r="AC61" s="404"/>
      <c r="AD61" s="404"/>
      <c r="AE61" s="404">
        <f t="shared" si="17"/>
        <v>0.918</v>
      </c>
      <c r="AF61" s="404"/>
      <c r="AG61" s="404"/>
      <c r="AH61" s="404"/>
      <c r="AI61" s="404">
        <f t="shared" si="18"/>
        <v>2.03071381</v>
      </c>
      <c r="AJ61" s="404"/>
      <c r="AK61" s="404"/>
      <c r="AL61" s="404">
        <f t="shared" si="19"/>
        <v>0.918</v>
      </c>
      <c r="AM61" s="404"/>
      <c r="AN61" s="404"/>
      <c r="AO61" s="404"/>
      <c r="AP61" s="495">
        <f t="shared" si="20"/>
        <v>2.03071381</v>
      </c>
      <c r="AQ61" s="404"/>
      <c r="AR61" s="404"/>
      <c r="AS61" s="495">
        <f t="shared" si="21"/>
        <v>0.918</v>
      </c>
      <c r="AT61" s="404"/>
      <c r="AU61" s="404"/>
      <c r="AV61" s="206" t="s">
        <v>247</v>
      </c>
    </row>
    <row r="62" spans="1:48" s="2" customFormat="1" ht="47.25">
      <c r="A62" s="238" t="str">
        <f>1!A60</f>
        <v>1.4.2.7</v>
      </c>
      <c r="B62" s="170" t="str">
        <f>1!B60</f>
        <v>Строительство КЛ-0,4 кВ от РУ-0,4 кВ ТП-50 (С-1) до ВРУ МКЖД по ул.Ленина,49(линия 1), г.Железноводск, L=0,061 км (АВБбШв 4х240)</v>
      </c>
      <c r="C62" s="506" t="str">
        <f>1!C60</f>
        <v>G_Gelezno_ТР7</v>
      </c>
      <c r="D62" s="127">
        <f>3!H59</f>
        <v>0.14089326</v>
      </c>
      <c r="E62" s="493">
        <f>3!I59</f>
        <v>0.14089326</v>
      </c>
      <c r="F62" s="404"/>
      <c r="G62" s="404">
        <f t="shared" si="11"/>
        <v>0.14089326</v>
      </c>
      <c r="H62" s="404"/>
      <c r="I62" s="404"/>
      <c r="J62" s="404">
        <f t="shared" si="12"/>
        <v>0.061</v>
      </c>
      <c r="K62" s="404"/>
      <c r="L62" s="404"/>
      <c r="M62" s="404"/>
      <c r="N62" s="493">
        <f t="shared" si="13"/>
        <v>0.14089326</v>
      </c>
      <c r="O62" s="404"/>
      <c r="P62" s="404"/>
      <c r="Q62" s="404">
        <v>0.061</v>
      </c>
      <c r="R62" s="404"/>
      <c r="S62" s="404"/>
      <c r="T62" s="404"/>
      <c r="U62" s="404">
        <f t="shared" si="14"/>
        <v>0.14089326</v>
      </c>
      <c r="V62" s="404"/>
      <c r="W62" s="404"/>
      <c r="X62" s="404">
        <f t="shared" si="15"/>
        <v>0.061</v>
      </c>
      <c r="Y62" s="404"/>
      <c r="Z62" s="404"/>
      <c r="AA62" s="404"/>
      <c r="AB62" s="404">
        <f t="shared" si="16"/>
        <v>0.14089326</v>
      </c>
      <c r="AC62" s="404"/>
      <c r="AD62" s="404"/>
      <c r="AE62" s="404">
        <f t="shared" si="17"/>
        <v>0.061</v>
      </c>
      <c r="AF62" s="404"/>
      <c r="AG62" s="404"/>
      <c r="AH62" s="404"/>
      <c r="AI62" s="404">
        <f t="shared" si="18"/>
        <v>0.14089326</v>
      </c>
      <c r="AJ62" s="404"/>
      <c r="AK62" s="404"/>
      <c r="AL62" s="404">
        <f t="shared" si="19"/>
        <v>0.061</v>
      </c>
      <c r="AM62" s="404"/>
      <c r="AN62" s="404"/>
      <c r="AO62" s="404"/>
      <c r="AP62" s="495">
        <f t="shared" si="20"/>
        <v>0.14089326</v>
      </c>
      <c r="AQ62" s="404"/>
      <c r="AR62" s="404"/>
      <c r="AS62" s="495">
        <f t="shared" si="21"/>
        <v>0.061</v>
      </c>
      <c r="AT62" s="404"/>
      <c r="AU62" s="404"/>
      <c r="AV62" s="206" t="s">
        <v>247</v>
      </c>
    </row>
    <row r="63" spans="1:48" s="2" customFormat="1" ht="47.25">
      <c r="A63" s="238" t="str">
        <f>1!A61</f>
        <v>1.4.2.8</v>
      </c>
      <c r="B63" s="170" t="str">
        <f>1!B61</f>
        <v>Строительство КЛ-0,4 кВ от РУ-0,4 кВ ТП-50(С-2) до ВРУ МКЖД по ул.Ленина,49(линия 2), г.Железноводск, L=0,061 км (АВБбШв 4х240)</v>
      </c>
      <c r="C63" s="506" t="str">
        <f>1!C61</f>
        <v>G_Gelezno_ТР8</v>
      </c>
      <c r="D63" s="127">
        <f>3!H60</f>
        <v>0.11102854</v>
      </c>
      <c r="E63" s="493">
        <f>3!I60</f>
        <v>0.11102854</v>
      </c>
      <c r="F63" s="404"/>
      <c r="G63" s="404">
        <f t="shared" si="11"/>
        <v>0.11102854</v>
      </c>
      <c r="H63" s="404"/>
      <c r="I63" s="404"/>
      <c r="J63" s="404">
        <f t="shared" si="12"/>
        <v>0.061</v>
      </c>
      <c r="K63" s="404"/>
      <c r="L63" s="404"/>
      <c r="M63" s="404"/>
      <c r="N63" s="493">
        <f t="shared" si="13"/>
        <v>0.11102854</v>
      </c>
      <c r="O63" s="404"/>
      <c r="P63" s="404"/>
      <c r="Q63" s="404">
        <v>0.061</v>
      </c>
      <c r="R63" s="404"/>
      <c r="S63" s="404"/>
      <c r="T63" s="404"/>
      <c r="U63" s="404">
        <f t="shared" si="14"/>
        <v>0.11102854</v>
      </c>
      <c r="V63" s="404"/>
      <c r="W63" s="404"/>
      <c r="X63" s="404">
        <f t="shared" si="15"/>
        <v>0.061</v>
      </c>
      <c r="Y63" s="404"/>
      <c r="Z63" s="404"/>
      <c r="AA63" s="404"/>
      <c r="AB63" s="404">
        <f t="shared" si="16"/>
        <v>0.11102854</v>
      </c>
      <c r="AC63" s="404"/>
      <c r="AD63" s="404"/>
      <c r="AE63" s="404">
        <f t="shared" si="17"/>
        <v>0.061</v>
      </c>
      <c r="AF63" s="404"/>
      <c r="AG63" s="404"/>
      <c r="AH63" s="404"/>
      <c r="AI63" s="404">
        <f t="shared" si="18"/>
        <v>0.11102854</v>
      </c>
      <c r="AJ63" s="404"/>
      <c r="AK63" s="404"/>
      <c r="AL63" s="404">
        <f t="shared" si="19"/>
        <v>0.061</v>
      </c>
      <c r="AM63" s="404"/>
      <c r="AN63" s="404"/>
      <c r="AO63" s="404"/>
      <c r="AP63" s="495">
        <f t="shared" si="20"/>
        <v>0.11102854</v>
      </c>
      <c r="AQ63" s="404"/>
      <c r="AR63" s="404"/>
      <c r="AS63" s="495">
        <f t="shared" si="21"/>
        <v>0.061</v>
      </c>
      <c r="AT63" s="404"/>
      <c r="AU63" s="404"/>
      <c r="AV63" s="206" t="s">
        <v>247</v>
      </c>
    </row>
    <row r="64" spans="1:48" s="2" customFormat="1" ht="31.5">
      <c r="A64" s="238" t="str">
        <f>1!A62</f>
        <v>1.4.2.9</v>
      </c>
      <c r="B64" s="170" t="str">
        <f>1!B62</f>
        <v>Строительство КТП-105 ул.Октябрьская, 96 Б, п.Иноземцево (250 кВА)</v>
      </c>
      <c r="C64" s="506" t="str">
        <f>1!C62</f>
        <v>G_Gelezno_ТР9</v>
      </c>
      <c r="D64" s="127">
        <f>3!H61</f>
        <v>1.04124993</v>
      </c>
      <c r="E64" s="493">
        <f>3!I61</f>
        <v>1.04124993</v>
      </c>
      <c r="F64" s="404"/>
      <c r="G64" s="404">
        <f t="shared" si="11"/>
        <v>1.04124993</v>
      </c>
      <c r="H64" s="404">
        <f>O64</f>
        <v>0.25</v>
      </c>
      <c r="I64" s="404"/>
      <c r="J64" s="404"/>
      <c r="K64" s="404"/>
      <c r="L64" s="404"/>
      <c r="M64" s="404"/>
      <c r="N64" s="493">
        <f t="shared" si="13"/>
        <v>1.04124993</v>
      </c>
      <c r="O64" s="404">
        <v>0.25</v>
      </c>
      <c r="P64" s="404"/>
      <c r="Q64" s="404"/>
      <c r="R64" s="404"/>
      <c r="S64" s="404"/>
      <c r="T64" s="404"/>
      <c r="U64" s="404">
        <f t="shared" si="14"/>
        <v>1.04124993</v>
      </c>
      <c r="V64" s="404">
        <f>AC64</f>
        <v>0.25</v>
      </c>
      <c r="W64" s="404"/>
      <c r="X64" s="404"/>
      <c r="Y64" s="404"/>
      <c r="Z64" s="404"/>
      <c r="AA64" s="404"/>
      <c r="AB64" s="404">
        <f t="shared" si="16"/>
        <v>1.04124993</v>
      </c>
      <c r="AC64" s="404">
        <f>O64</f>
        <v>0.25</v>
      </c>
      <c r="AD64" s="404"/>
      <c r="AE64" s="404"/>
      <c r="AF64" s="404"/>
      <c r="AG64" s="404"/>
      <c r="AH64" s="404"/>
      <c r="AI64" s="404">
        <f t="shared" si="18"/>
        <v>1.04124993</v>
      </c>
      <c r="AJ64" s="404">
        <f>H64</f>
        <v>0.25</v>
      </c>
      <c r="AK64" s="404"/>
      <c r="AL64" s="404"/>
      <c r="AM64" s="404"/>
      <c r="AN64" s="404"/>
      <c r="AO64" s="404"/>
      <c r="AP64" s="495">
        <f t="shared" si="20"/>
        <v>1.04124993</v>
      </c>
      <c r="AQ64" s="404">
        <f>O64</f>
        <v>0.25</v>
      </c>
      <c r="AR64" s="404"/>
      <c r="AS64" s="495"/>
      <c r="AT64" s="404"/>
      <c r="AU64" s="404"/>
      <c r="AV64" s="206" t="s">
        <v>247</v>
      </c>
    </row>
    <row r="65" spans="1:48" s="2" customFormat="1" ht="63">
      <c r="A65" s="238" t="str">
        <f>1!A63</f>
        <v>1.4.2.10</v>
      </c>
      <c r="B65" s="170" t="str">
        <f>1!B63</f>
        <v>Строительство КЛ-0,4 кВ от РП-2 (С-1) до ВРУ тренировочной площадки стадииона "Спартак" ул.Калинина,3 (линия 1), г.Железноводск, L= 0,245 км (АВБбШв 4х240)</v>
      </c>
      <c r="C65" s="506" t="str">
        <f>1!C63</f>
        <v>G_Gelezno_ТР10</v>
      </c>
      <c r="D65" s="127">
        <f>3!H62</f>
        <v>0.38102926</v>
      </c>
      <c r="E65" s="491">
        <f>3!I62</f>
        <v>0.38102926</v>
      </c>
      <c r="F65" s="127"/>
      <c r="G65" s="127">
        <f t="shared" si="11"/>
        <v>0.38102926</v>
      </c>
      <c r="H65" s="127"/>
      <c r="I65" s="127"/>
      <c r="J65" s="127">
        <f t="shared" si="12"/>
        <v>0.245</v>
      </c>
      <c r="K65" s="127"/>
      <c r="L65" s="127"/>
      <c r="M65" s="127"/>
      <c r="N65" s="491">
        <f t="shared" si="13"/>
        <v>0.38102926</v>
      </c>
      <c r="O65" s="127"/>
      <c r="P65" s="127"/>
      <c r="Q65" s="127">
        <v>0.245</v>
      </c>
      <c r="R65" s="127"/>
      <c r="S65" s="127"/>
      <c r="T65" s="127"/>
      <c r="U65" s="127">
        <f t="shared" si="14"/>
        <v>0.38102926</v>
      </c>
      <c r="V65" s="127"/>
      <c r="W65" s="127"/>
      <c r="X65" s="127">
        <f t="shared" si="15"/>
        <v>0.245</v>
      </c>
      <c r="Y65" s="127"/>
      <c r="Z65" s="127"/>
      <c r="AA65" s="127"/>
      <c r="AB65" s="127">
        <f t="shared" si="16"/>
        <v>0.38102926</v>
      </c>
      <c r="AC65" s="127"/>
      <c r="AD65" s="127"/>
      <c r="AE65" s="127">
        <f t="shared" si="17"/>
        <v>0.245</v>
      </c>
      <c r="AF65" s="127"/>
      <c r="AG65" s="127"/>
      <c r="AH65" s="127"/>
      <c r="AI65" s="127">
        <f t="shared" si="18"/>
        <v>0.38102926</v>
      </c>
      <c r="AJ65" s="127"/>
      <c r="AK65" s="127"/>
      <c r="AL65" s="127">
        <f t="shared" si="19"/>
        <v>0.245</v>
      </c>
      <c r="AM65" s="127"/>
      <c r="AN65" s="127"/>
      <c r="AO65" s="127"/>
      <c r="AP65" s="497">
        <f t="shared" si="20"/>
        <v>0.38102926</v>
      </c>
      <c r="AQ65" s="127"/>
      <c r="AR65" s="127"/>
      <c r="AS65" s="497">
        <f t="shared" si="21"/>
        <v>0.245</v>
      </c>
      <c r="AT65" s="127"/>
      <c r="AU65" s="127"/>
      <c r="AV65" s="206" t="s">
        <v>247</v>
      </c>
    </row>
    <row r="66" spans="1:48" s="2" customFormat="1" ht="63">
      <c r="A66" s="238" t="str">
        <f>1!A64</f>
        <v>1.4.2.11</v>
      </c>
      <c r="B66" s="170" t="str">
        <f>1!B64</f>
        <v>Строительство КЛ-0,4 кВ от РП-2 (С-2) до ВРУ тренировочной площадки стадиона "Спартак" ул.Калинина,3 (линия 2), г.Железноводск, L= 0,245 км (АВБбШв 4х240)</v>
      </c>
      <c r="C66" s="506" t="str">
        <f>1!C64</f>
        <v>G_Gelezno_ТР11</v>
      </c>
      <c r="D66" s="127">
        <f>3!H63</f>
        <v>0.2857998</v>
      </c>
      <c r="E66" s="491">
        <f>3!I63</f>
        <v>0.2857998</v>
      </c>
      <c r="F66" s="127"/>
      <c r="G66" s="127">
        <f t="shared" si="11"/>
        <v>0.2857998</v>
      </c>
      <c r="H66" s="127"/>
      <c r="I66" s="127"/>
      <c r="J66" s="127">
        <f t="shared" si="12"/>
        <v>0.245</v>
      </c>
      <c r="K66" s="127"/>
      <c r="L66" s="127"/>
      <c r="M66" s="127"/>
      <c r="N66" s="491">
        <f t="shared" si="13"/>
        <v>0.2857998</v>
      </c>
      <c r="O66" s="127"/>
      <c r="P66" s="127"/>
      <c r="Q66" s="127">
        <v>0.245</v>
      </c>
      <c r="R66" s="127"/>
      <c r="S66" s="127"/>
      <c r="T66" s="127"/>
      <c r="U66" s="127">
        <f t="shared" si="14"/>
        <v>0.2857998</v>
      </c>
      <c r="V66" s="127"/>
      <c r="W66" s="127"/>
      <c r="X66" s="127">
        <f t="shared" si="15"/>
        <v>0.245</v>
      </c>
      <c r="Y66" s="127"/>
      <c r="Z66" s="127"/>
      <c r="AA66" s="127"/>
      <c r="AB66" s="127">
        <f t="shared" si="16"/>
        <v>0.2857998</v>
      </c>
      <c r="AC66" s="127"/>
      <c r="AD66" s="127"/>
      <c r="AE66" s="127">
        <f t="shared" si="17"/>
        <v>0.245</v>
      </c>
      <c r="AF66" s="127"/>
      <c r="AG66" s="127"/>
      <c r="AH66" s="127"/>
      <c r="AI66" s="127">
        <f t="shared" si="18"/>
        <v>0.2857998</v>
      </c>
      <c r="AJ66" s="127"/>
      <c r="AK66" s="127"/>
      <c r="AL66" s="127">
        <f t="shared" si="19"/>
        <v>0.245</v>
      </c>
      <c r="AM66" s="127"/>
      <c r="AN66" s="127"/>
      <c r="AO66" s="127"/>
      <c r="AP66" s="497">
        <f t="shared" si="20"/>
        <v>0.2857998</v>
      </c>
      <c r="AQ66" s="127"/>
      <c r="AR66" s="127"/>
      <c r="AS66" s="497">
        <f t="shared" si="21"/>
        <v>0.245</v>
      </c>
      <c r="AT66" s="127"/>
      <c r="AU66" s="127"/>
      <c r="AV66" s="206" t="s">
        <v>247</v>
      </c>
    </row>
    <row r="67" spans="1:48" s="2" customFormat="1" ht="31.5">
      <c r="A67" s="238" t="str">
        <f>1!A65</f>
        <v>1.4.2.12</v>
      </c>
      <c r="B67" s="170" t="str">
        <f>1!B65</f>
        <v>Строительство КТП-248 ул.Тихая,8, п.Иноземцево (ТМГ-250 кВА)</v>
      </c>
      <c r="C67" s="506" t="str">
        <f>1!C65</f>
        <v>G_Gelezno_ТР12</v>
      </c>
      <c r="D67" s="127">
        <f>3!H64</f>
        <v>0.91319122</v>
      </c>
      <c r="E67" s="493">
        <f>3!I64</f>
        <v>0.91319122</v>
      </c>
      <c r="F67" s="404"/>
      <c r="G67" s="404">
        <f t="shared" si="11"/>
        <v>0.91319122</v>
      </c>
      <c r="H67" s="404">
        <f>O67</f>
        <v>0.25</v>
      </c>
      <c r="I67" s="404"/>
      <c r="J67" s="404"/>
      <c r="K67" s="404"/>
      <c r="L67" s="404"/>
      <c r="M67" s="404"/>
      <c r="N67" s="493">
        <f t="shared" si="13"/>
        <v>0.91319122</v>
      </c>
      <c r="O67" s="404">
        <v>0.25</v>
      </c>
      <c r="P67" s="404"/>
      <c r="Q67" s="404"/>
      <c r="R67" s="404"/>
      <c r="S67" s="404"/>
      <c r="T67" s="404"/>
      <c r="U67" s="404">
        <f t="shared" si="14"/>
        <v>0.91319122</v>
      </c>
      <c r="V67" s="404">
        <f>AC67</f>
        <v>0.25</v>
      </c>
      <c r="W67" s="404"/>
      <c r="X67" s="404"/>
      <c r="Y67" s="404"/>
      <c r="Z67" s="404"/>
      <c r="AA67" s="404"/>
      <c r="AB67" s="404">
        <f t="shared" si="16"/>
        <v>0.91319122</v>
      </c>
      <c r="AC67" s="404">
        <f>O67</f>
        <v>0.25</v>
      </c>
      <c r="AD67" s="404"/>
      <c r="AE67" s="404"/>
      <c r="AF67" s="404"/>
      <c r="AG67" s="404"/>
      <c r="AH67" s="404"/>
      <c r="AI67" s="404">
        <f t="shared" si="18"/>
        <v>0.91319122</v>
      </c>
      <c r="AJ67" s="404">
        <f>H67</f>
        <v>0.25</v>
      </c>
      <c r="AK67" s="404"/>
      <c r="AL67" s="404"/>
      <c r="AM67" s="404"/>
      <c r="AN67" s="404"/>
      <c r="AO67" s="404"/>
      <c r="AP67" s="495">
        <f t="shared" si="20"/>
        <v>0.91319122</v>
      </c>
      <c r="AQ67" s="404">
        <f>O67</f>
        <v>0.25</v>
      </c>
      <c r="AR67" s="404"/>
      <c r="AS67" s="495"/>
      <c r="AT67" s="404"/>
      <c r="AU67" s="404"/>
      <c r="AV67" s="206" t="s">
        <v>247</v>
      </c>
    </row>
    <row r="68" spans="1:48" s="2" customFormat="1" ht="47.25">
      <c r="A68" s="238" t="str">
        <f>1!A66</f>
        <v>1.4.2.13</v>
      </c>
      <c r="B68" s="170" t="str">
        <f>1!B66</f>
        <v>Строительство ВЛ-0,4 кВ от КТП-233 до ВРУ магазина ул.Вокзальная, 46А, п.Иноземцево, L= 0,408 км (СИП-2 3х50+1х54,6)</v>
      </c>
      <c r="C68" s="506" t="str">
        <f>1!C66</f>
        <v>G_Gelezno_ТР13</v>
      </c>
      <c r="D68" s="127">
        <f>3!H65</f>
        <v>0.17022139</v>
      </c>
      <c r="E68" s="493">
        <f>3!I65</f>
        <v>0.17022139</v>
      </c>
      <c r="F68" s="404"/>
      <c r="G68" s="404">
        <f t="shared" si="11"/>
        <v>0.17022139</v>
      </c>
      <c r="H68" s="404"/>
      <c r="I68" s="404"/>
      <c r="J68" s="404">
        <f t="shared" si="12"/>
        <v>0.408</v>
      </c>
      <c r="K68" s="404"/>
      <c r="L68" s="404"/>
      <c r="M68" s="404"/>
      <c r="N68" s="493">
        <f t="shared" si="13"/>
        <v>0.17022139</v>
      </c>
      <c r="O68" s="404"/>
      <c r="P68" s="404"/>
      <c r="Q68" s="404">
        <v>0.408</v>
      </c>
      <c r="R68" s="404"/>
      <c r="S68" s="404"/>
      <c r="T68" s="404"/>
      <c r="U68" s="404">
        <f t="shared" si="14"/>
        <v>0.17022139</v>
      </c>
      <c r="V68" s="404"/>
      <c r="W68" s="404"/>
      <c r="X68" s="404">
        <f t="shared" si="15"/>
        <v>0.408</v>
      </c>
      <c r="Y68" s="404"/>
      <c r="Z68" s="404"/>
      <c r="AA68" s="404"/>
      <c r="AB68" s="404">
        <f t="shared" si="16"/>
        <v>0.17022139</v>
      </c>
      <c r="AC68" s="404"/>
      <c r="AD68" s="404"/>
      <c r="AE68" s="404">
        <f t="shared" si="17"/>
        <v>0.408</v>
      </c>
      <c r="AF68" s="404"/>
      <c r="AG68" s="404"/>
      <c r="AH68" s="404"/>
      <c r="AI68" s="404">
        <f t="shared" si="18"/>
        <v>0.17022139</v>
      </c>
      <c r="AJ68" s="404"/>
      <c r="AK68" s="404"/>
      <c r="AL68" s="404">
        <f t="shared" si="19"/>
        <v>0.408</v>
      </c>
      <c r="AM68" s="404"/>
      <c r="AN68" s="404"/>
      <c r="AO68" s="404"/>
      <c r="AP68" s="495">
        <f t="shared" si="20"/>
        <v>0.17022139</v>
      </c>
      <c r="AQ68" s="404"/>
      <c r="AR68" s="404"/>
      <c r="AS68" s="495">
        <f t="shared" si="21"/>
        <v>0.408</v>
      </c>
      <c r="AT68" s="404"/>
      <c r="AU68" s="404"/>
      <c r="AV68" s="206" t="s">
        <v>247</v>
      </c>
    </row>
    <row r="69" spans="1:48" s="2" customFormat="1" ht="47.25">
      <c r="A69" s="238" t="str">
        <f>1!A67</f>
        <v>1.4.2.14</v>
      </c>
      <c r="B69" s="170" t="str">
        <f>1!B67</f>
        <v>Строительство ВЛ-0,4 кВ от РУ-0,4кВ ТП-75 (С-1) по ул.Ленина район дома 123, г.Железноводск, L= 0,143 км (СИП-2 3х50+1х54,6)</v>
      </c>
      <c r="C69" s="506" t="str">
        <f>1!C67</f>
        <v>G_Gelezno_ТР14</v>
      </c>
      <c r="D69" s="127">
        <f>3!H66</f>
        <v>0.09412468</v>
      </c>
      <c r="E69" s="493">
        <f>3!I66</f>
        <v>0.09412468</v>
      </c>
      <c r="F69" s="404"/>
      <c r="G69" s="404">
        <f t="shared" si="11"/>
        <v>0.09412468</v>
      </c>
      <c r="H69" s="404"/>
      <c r="I69" s="404"/>
      <c r="J69" s="404">
        <f t="shared" si="12"/>
        <v>0.143</v>
      </c>
      <c r="K69" s="404"/>
      <c r="L69" s="404"/>
      <c r="M69" s="404"/>
      <c r="N69" s="493">
        <f t="shared" si="13"/>
        <v>0.09412468</v>
      </c>
      <c r="O69" s="404"/>
      <c r="P69" s="404"/>
      <c r="Q69" s="404">
        <v>0.143</v>
      </c>
      <c r="R69" s="404"/>
      <c r="S69" s="404"/>
      <c r="T69" s="404"/>
      <c r="U69" s="404">
        <f t="shared" si="14"/>
        <v>0.09412468</v>
      </c>
      <c r="V69" s="404"/>
      <c r="W69" s="404"/>
      <c r="X69" s="404">
        <f t="shared" si="15"/>
        <v>0.143</v>
      </c>
      <c r="Y69" s="404"/>
      <c r="Z69" s="404"/>
      <c r="AA69" s="404"/>
      <c r="AB69" s="404">
        <f t="shared" si="16"/>
        <v>0.09412468</v>
      </c>
      <c r="AC69" s="404"/>
      <c r="AD69" s="404"/>
      <c r="AE69" s="404">
        <f t="shared" si="17"/>
        <v>0.143</v>
      </c>
      <c r="AF69" s="404"/>
      <c r="AG69" s="404"/>
      <c r="AH69" s="404"/>
      <c r="AI69" s="404">
        <f t="shared" si="18"/>
        <v>0.09412468</v>
      </c>
      <c r="AJ69" s="404"/>
      <c r="AK69" s="404"/>
      <c r="AL69" s="404">
        <f t="shared" si="19"/>
        <v>0.143</v>
      </c>
      <c r="AM69" s="404"/>
      <c r="AN69" s="404"/>
      <c r="AO69" s="404"/>
      <c r="AP69" s="495">
        <f t="shared" si="20"/>
        <v>0.09412468</v>
      </c>
      <c r="AQ69" s="404"/>
      <c r="AR69" s="404"/>
      <c r="AS69" s="495">
        <f t="shared" si="21"/>
        <v>0.143</v>
      </c>
      <c r="AT69" s="404"/>
      <c r="AU69" s="404"/>
      <c r="AV69" s="206" t="s">
        <v>247</v>
      </c>
    </row>
    <row r="70" spans="1:48" s="2" customFormat="1" ht="47.25">
      <c r="A70" s="238" t="str">
        <f>1!A68</f>
        <v>1.4.2.15</v>
      </c>
      <c r="B70" s="170" t="str">
        <f>1!B68</f>
        <v>Строительство ВЛ-0,4кВ от РУ-0,4 кВ ТП-75 (С-2) по ул.Ленина район дома 123, г.Железноводск, L= 0,143 км (СИП-2 3х50+1х54,6)</v>
      </c>
      <c r="C70" s="506" t="str">
        <f>1!C68</f>
        <v>G_Gelezno_ТР15</v>
      </c>
      <c r="D70" s="127">
        <f>3!H67</f>
        <v>0.07665076</v>
      </c>
      <c r="E70" s="493">
        <f>3!I67</f>
        <v>0.07665076</v>
      </c>
      <c r="F70" s="404"/>
      <c r="G70" s="404">
        <f t="shared" si="11"/>
        <v>0.07665076</v>
      </c>
      <c r="H70" s="404"/>
      <c r="I70" s="404"/>
      <c r="J70" s="404">
        <f t="shared" si="12"/>
        <v>0.143</v>
      </c>
      <c r="K70" s="404"/>
      <c r="L70" s="404"/>
      <c r="M70" s="404"/>
      <c r="N70" s="493">
        <f t="shared" si="13"/>
        <v>0.07665076</v>
      </c>
      <c r="O70" s="404"/>
      <c r="P70" s="404"/>
      <c r="Q70" s="404">
        <v>0.143</v>
      </c>
      <c r="R70" s="404"/>
      <c r="S70" s="404"/>
      <c r="T70" s="404"/>
      <c r="U70" s="404">
        <f t="shared" si="14"/>
        <v>0.07665076</v>
      </c>
      <c r="V70" s="404"/>
      <c r="W70" s="404"/>
      <c r="X70" s="404">
        <f t="shared" si="15"/>
        <v>0.143</v>
      </c>
      <c r="Y70" s="404"/>
      <c r="Z70" s="404"/>
      <c r="AA70" s="404"/>
      <c r="AB70" s="404">
        <f t="shared" si="16"/>
        <v>0.07665076</v>
      </c>
      <c r="AC70" s="404"/>
      <c r="AD70" s="404"/>
      <c r="AE70" s="404">
        <f t="shared" si="17"/>
        <v>0.143</v>
      </c>
      <c r="AF70" s="404"/>
      <c r="AG70" s="404"/>
      <c r="AH70" s="404"/>
      <c r="AI70" s="404">
        <f t="shared" si="18"/>
        <v>0.07665076</v>
      </c>
      <c r="AJ70" s="404"/>
      <c r="AK70" s="404"/>
      <c r="AL70" s="404">
        <f t="shared" si="19"/>
        <v>0.143</v>
      </c>
      <c r="AM70" s="404"/>
      <c r="AN70" s="404"/>
      <c r="AO70" s="404"/>
      <c r="AP70" s="495">
        <f t="shared" si="20"/>
        <v>0.07665076</v>
      </c>
      <c r="AQ70" s="404"/>
      <c r="AR70" s="404"/>
      <c r="AS70" s="495">
        <f t="shared" si="21"/>
        <v>0.143</v>
      </c>
      <c r="AT70" s="404"/>
      <c r="AU70" s="404"/>
      <c r="AV70" s="206" t="s">
        <v>247</v>
      </c>
    </row>
    <row r="71" spans="1:48" s="2" customFormat="1" ht="47.25">
      <c r="A71" s="238" t="str">
        <f>1!A69</f>
        <v>1.4.2.16</v>
      </c>
      <c r="B71" s="170" t="str">
        <f>1!B69</f>
        <v>Строительство КЛ-0,4 кВ от ВРУ-1 до ВРУ-2 в ЖК "Вишнёвый сад" (2-ая очередь), п.Иноземцево, L= 0,04 км (АВБбШв 4х120)</v>
      </c>
      <c r="C71" s="506" t="str">
        <f>1!C69</f>
        <v>G_Gelezno_ТР16</v>
      </c>
      <c r="D71" s="127">
        <f>3!H68</f>
        <v>0.05238506</v>
      </c>
      <c r="E71" s="493">
        <f>3!I68</f>
        <v>0.05238506</v>
      </c>
      <c r="F71" s="404"/>
      <c r="G71" s="404">
        <f t="shared" si="11"/>
        <v>0.05238506</v>
      </c>
      <c r="H71" s="404"/>
      <c r="I71" s="404"/>
      <c r="J71" s="404">
        <f t="shared" si="12"/>
        <v>0.04</v>
      </c>
      <c r="K71" s="404"/>
      <c r="L71" s="404"/>
      <c r="M71" s="404"/>
      <c r="N71" s="493">
        <f t="shared" si="13"/>
        <v>0.05238506</v>
      </c>
      <c r="O71" s="404"/>
      <c r="P71" s="404"/>
      <c r="Q71" s="404">
        <v>0.04</v>
      </c>
      <c r="R71" s="404"/>
      <c r="S71" s="404"/>
      <c r="T71" s="404"/>
      <c r="U71" s="404">
        <f t="shared" si="14"/>
        <v>0.05238506</v>
      </c>
      <c r="V71" s="404"/>
      <c r="W71" s="404"/>
      <c r="X71" s="404">
        <f t="shared" si="15"/>
        <v>0.04</v>
      </c>
      <c r="Y71" s="404"/>
      <c r="Z71" s="404"/>
      <c r="AA71" s="404"/>
      <c r="AB71" s="404">
        <f t="shared" si="16"/>
        <v>0.05238506</v>
      </c>
      <c r="AC71" s="404"/>
      <c r="AD71" s="404"/>
      <c r="AE71" s="404">
        <f t="shared" si="17"/>
        <v>0.04</v>
      </c>
      <c r="AF71" s="404"/>
      <c r="AG71" s="404"/>
      <c r="AH71" s="404"/>
      <c r="AI71" s="404">
        <f t="shared" si="18"/>
        <v>0.05238506</v>
      </c>
      <c r="AJ71" s="404"/>
      <c r="AK71" s="404"/>
      <c r="AL71" s="404">
        <f t="shared" si="19"/>
        <v>0.04</v>
      </c>
      <c r="AM71" s="404"/>
      <c r="AN71" s="404"/>
      <c r="AO71" s="404"/>
      <c r="AP71" s="495">
        <f t="shared" si="20"/>
        <v>0.05238506</v>
      </c>
      <c r="AQ71" s="404"/>
      <c r="AR71" s="404"/>
      <c r="AS71" s="495">
        <f t="shared" si="21"/>
        <v>0.04</v>
      </c>
      <c r="AT71" s="404"/>
      <c r="AU71" s="404"/>
      <c r="AV71" s="206" t="s">
        <v>247</v>
      </c>
    </row>
    <row r="72" spans="1:48" s="2" customFormat="1" ht="47.25">
      <c r="A72" s="238" t="str">
        <f>1!A70</f>
        <v>1.4.2.17</v>
      </c>
      <c r="B72" s="170" t="str">
        <f>1!B70</f>
        <v>Строительство КЛ-0,4кВ от ВРУ-11 до ВРУ-12 в ЖК"Вишнёвый сад" (2-ая очередь), п.Иноземцево, L= 0,035 км (АВБбШв 4х95)</v>
      </c>
      <c r="C72" s="506" t="str">
        <f>1!C70</f>
        <v>G_Gelezno_ТР17</v>
      </c>
      <c r="D72" s="127">
        <f>3!H69</f>
        <v>0.04696934</v>
      </c>
      <c r="E72" s="493">
        <f>3!I69</f>
        <v>0.04696934</v>
      </c>
      <c r="F72" s="404"/>
      <c r="G72" s="404">
        <f t="shared" si="11"/>
        <v>0.04696934</v>
      </c>
      <c r="H72" s="404"/>
      <c r="I72" s="404"/>
      <c r="J72" s="404">
        <f t="shared" si="12"/>
        <v>0.035</v>
      </c>
      <c r="K72" s="404"/>
      <c r="L72" s="404"/>
      <c r="M72" s="404"/>
      <c r="N72" s="493">
        <f t="shared" si="13"/>
        <v>0.04696934</v>
      </c>
      <c r="O72" s="404"/>
      <c r="P72" s="404"/>
      <c r="Q72" s="404">
        <v>0.035</v>
      </c>
      <c r="R72" s="404"/>
      <c r="S72" s="404"/>
      <c r="T72" s="404"/>
      <c r="U72" s="404">
        <f t="shared" si="14"/>
        <v>0.04696934</v>
      </c>
      <c r="V72" s="404"/>
      <c r="W72" s="404"/>
      <c r="X72" s="404">
        <f t="shared" si="15"/>
        <v>0.035</v>
      </c>
      <c r="Y72" s="404"/>
      <c r="Z72" s="404"/>
      <c r="AA72" s="404"/>
      <c r="AB72" s="404">
        <f t="shared" si="16"/>
        <v>0.04696934</v>
      </c>
      <c r="AC72" s="404"/>
      <c r="AD72" s="404"/>
      <c r="AE72" s="404">
        <f t="shared" si="17"/>
        <v>0.035</v>
      </c>
      <c r="AF72" s="404"/>
      <c r="AG72" s="404"/>
      <c r="AH72" s="404"/>
      <c r="AI72" s="404">
        <f t="shared" si="18"/>
        <v>0.04696934</v>
      </c>
      <c r="AJ72" s="404"/>
      <c r="AK72" s="404"/>
      <c r="AL72" s="404">
        <f t="shared" si="19"/>
        <v>0.035</v>
      </c>
      <c r="AM72" s="404"/>
      <c r="AN72" s="404"/>
      <c r="AO72" s="404"/>
      <c r="AP72" s="495">
        <f t="shared" si="20"/>
        <v>0.04696934</v>
      </c>
      <c r="AQ72" s="404"/>
      <c r="AR72" s="404"/>
      <c r="AS72" s="495">
        <f t="shared" si="21"/>
        <v>0.035</v>
      </c>
      <c r="AT72" s="404"/>
      <c r="AU72" s="404"/>
      <c r="AV72" s="206" t="s">
        <v>247</v>
      </c>
    </row>
    <row r="73" spans="1:48" s="2" customFormat="1" ht="47.25">
      <c r="A73" s="238" t="str">
        <f>1!A71</f>
        <v>1.4.2.18</v>
      </c>
      <c r="B73" s="170" t="str">
        <f>1!B71</f>
        <v>Строительство КЛ-0,4кВ от ВРУ-13 до ВРУ-14 в ЖК"Вишнёвый сад" (2-ая очередь), п.Иноземцево, L= 0,035 км (АВБбШв 4х95)</v>
      </c>
      <c r="C73" s="506" t="str">
        <f>1!C71</f>
        <v>G_Gelezno_ТР18</v>
      </c>
      <c r="D73" s="127">
        <f>3!H70</f>
        <v>0.04273267</v>
      </c>
      <c r="E73" s="493">
        <f>3!I70</f>
        <v>0.04273267</v>
      </c>
      <c r="F73" s="404"/>
      <c r="G73" s="404">
        <f t="shared" si="11"/>
        <v>0.04273267</v>
      </c>
      <c r="H73" s="404"/>
      <c r="I73" s="404"/>
      <c r="J73" s="404">
        <f t="shared" si="12"/>
        <v>0.035</v>
      </c>
      <c r="K73" s="404"/>
      <c r="L73" s="404"/>
      <c r="M73" s="404"/>
      <c r="N73" s="493">
        <f t="shared" si="13"/>
        <v>0.04273267</v>
      </c>
      <c r="O73" s="404"/>
      <c r="P73" s="404"/>
      <c r="Q73" s="404">
        <v>0.035</v>
      </c>
      <c r="R73" s="404"/>
      <c r="S73" s="404"/>
      <c r="T73" s="404"/>
      <c r="U73" s="404">
        <f t="shared" si="14"/>
        <v>0.04273267</v>
      </c>
      <c r="V73" s="404"/>
      <c r="W73" s="404"/>
      <c r="X73" s="404">
        <f t="shared" si="15"/>
        <v>0.035</v>
      </c>
      <c r="Y73" s="404"/>
      <c r="Z73" s="404"/>
      <c r="AA73" s="404"/>
      <c r="AB73" s="404">
        <f t="shared" si="16"/>
        <v>0.04273267</v>
      </c>
      <c r="AC73" s="404"/>
      <c r="AD73" s="404"/>
      <c r="AE73" s="404">
        <f t="shared" si="17"/>
        <v>0.035</v>
      </c>
      <c r="AF73" s="404"/>
      <c r="AG73" s="404"/>
      <c r="AH73" s="404"/>
      <c r="AI73" s="404">
        <f t="shared" si="18"/>
        <v>0.04273267</v>
      </c>
      <c r="AJ73" s="404"/>
      <c r="AK73" s="404"/>
      <c r="AL73" s="404">
        <f t="shared" si="19"/>
        <v>0.035</v>
      </c>
      <c r="AM73" s="404"/>
      <c r="AN73" s="404"/>
      <c r="AO73" s="404"/>
      <c r="AP73" s="495">
        <f t="shared" si="20"/>
        <v>0.04273267</v>
      </c>
      <c r="AQ73" s="404"/>
      <c r="AR73" s="404"/>
      <c r="AS73" s="495">
        <f t="shared" si="21"/>
        <v>0.035</v>
      </c>
      <c r="AT73" s="404"/>
      <c r="AU73" s="404"/>
      <c r="AV73" s="206" t="s">
        <v>247</v>
      </c>
    </row>
    <row r="74" spans="1:48" s="2" customFormat="1" ht="47.25">
      <c r="A74" s="238" t="str">
        <f>1!A72</f>
        <v>1.4.2.19</v>
      </c>
      <c r="B74" s="170" t="str">
        <f>1!B72</f>
        <v>Строительство КЛ-0,4 кВ от ВРУ-9 до ВРУ-10 в ЖК "Вишнёвый сад" (2-ая очередь), п.Иноземцево, L= 0,035 км (АВБбШв 4х95)</v>
      </c>
      <c r="C74" s="506" t="str">
        <f>1!C72</f>
        <v>G_Gelezno_ТР19</v>
      </c>
      <c r="D74" s="127">
        <f>3!H71</f>
        <v>0.04273267</v>
      </c>
      <c r="E74" s="493">
        <f>3!I71</f>
        <v>0.04273267</v>
      </c>
      <c r="F74" s="404"/>
      <c r="G74" s="404">
        <f t="shared" si="11"/>
        <v>0.04273267</v>
      </c>
      <c r="H74" s="404"/>
      <c r="I74" s="404"/>
      <c r="J74" s="404">
        <f t="shared" si="12"/>
        <v>0.035</v>
      </c>
      <c r="K74" s="404"/>
      <c r="L74" s="404"/>
      <c r="M74" s="404"/>
      <c r="N74" s="493">
        <f t="shared" si="13"/>
        <v>0.04273267</v>
      </c>
      <c r="O74" s="404"/>
      <c r="P74" s="404"/>
      <c r="Q74" s="404">
        <v>0.035</v>
      </c>
      <c r="R74" s="404"/>
      <c r="S74" s="404"/>
      <c r="T74" s="404"/>
      <c r="U74" s="404">
        <f t="shared" si="14"/>
        <v>0.04273267</v>
      </c>
      <c r="V74" s="404"/>
      <c r="W74" s="404"/>
      <c r="X74" s="404">
        <f t="shared" si="15"/>
        <v>0.035</v>
      </c>
      <c r="Y74" s="404"/>
      <c r="Z74" s="404"/>
      <c r="AA74" s="404"/>
      <c r="AB74" s="404">
        <f t="shared" si="16"/>
        <v>0.04273267</v>
      </c>
      <c r="AC74" s="404"/>
      <c r="AD74" s="404"/>
      <c r="AE74" s="404">
        <f t="shared" si="17"/>
        <v>0.035</v>
      </c>
      <c r="AF74" s="404"/>
      <c r="AG74" s="404"/>
      <c r="AH74" s="404"/>
      <c r="AI74" s="404">
        <f t="shared" si="18"/>
        <v>0.04273267</v>
      </c>
      <c r="AJ74" s="404"/>
      <c r="AK74" s="404"/>
      <c r="AL74" s="404">
        <f t="shared" si="19"/>
        <v>0.035</v>
      </c>
      <c r="AM74" s="404"/>
      <c r="AN74" s="404"/>
      <c r="AO74" s="404"/>
      <c r="AP74" s="495">
        <f t="shared" si="20"/>
        <v>0.04273267</v>
      </c>
      <c r="AQ74" s="404"/>
      <c r="AR74" s="404"/>
      <c r="AS74" s="495">
        <f t="shared" si="21"/>
        <v>0.035</v>
      </c>
      <c r="AT74" s="404"/>
      <c r="AU74" s="404"/>
      <c r="AV74" s="206" t="s">
        <v>247</v>
      </c>
    </row>
    <row r="75" spans="1:48" s="2" customFormat="1" ht="47.25">
      <c r="A75" s="238" t="str">
        <f>1!A73</f>
        <v>1.4.2.20</v>
      </c>
      <c r="B75" s="170" t="str">
        <f>1!B73</f>
        <v>Строительство КЛ-0,4 кВ от РУ-0,4 кВ 2КТП-244 до ВРУ-10 в ЖК "Вишнёвый сад" (2-ая очередь), п.Иноземцево, L= 0,19 км (АВБбШв 4х120)</v>
      </c>
      <c r="C75" s="506" t="str">
        <f>1!C73</f>
        <v>G_Gelezno_ТР20</v>
      </c>
      <c r="D75" s="127">
        <f>3!H72</f>
        <v>0.17617151</v>
      </c>
      <c r="E75" s="493">
        <f>3!I72</f>
        <v>0.17617151</v>
      </c>
      <c r="F75" s="404"/>
      <c r="G75" s="404">
        <f t="shared" si="11"/>
        <v>0.17617151</v>
      </c>
      <c r="H75" s="404"/>
      <c r="I75" s="404"/>
      <c r="J75" s="404">
        <f t="shared" si="12"/>
        <v>0.19</v>
      </c>
      <c r="K75" s="404"/>
      <c r="L75" s="404"/>
      <c r="M75" s="404"/>
      <c r="N75" s="493">
        <f t="shared" si="13"/>
        <v>0.17617151</v>
      </c>
      <c r="O75" s="404"/>
      <c r="P75" s="404"/>
      <c r="Q75" s="404">
        <v>0.19</v>
      </c>
      <c r="R75" s="404"/>
      <c r="S75" s="404"/>
      <c r="T75" s="404"/>
      <c r="U75" s="404">
        <f t="shared" si="14"/>
        <v>0.17617151</v>
      </c>
      <c r="V75" s="404"/>
      <c r="W75" s="404"/>
      <c r="X75" s="404">
        <f t="shared" si="15"/>
        <v>0.19</v>
      </c>
      <c r="Y75" s="404"/>
      <c r="Z75" s="404"/>
      <c r="AA75" s="404"/>
      <c r="AB75" s="404">
        <f t="shared" si="16"/>
        <v>0.17617151</v>
      </c>
      <c r="AC75" s="404"/>
      <c r="AD75" s="404"/>
      <c r="AE75" s="404">
        <f t="shared" si="17"/>
        <v>0.19</v>
      </c>
      <c r="AF75" s="404"/>
      <c r="AG75" s="404"/>
      <c r="AH75" s="404"/>
      <c r="AI75" s="404">
        <f t="shared" si="18"/>
        <v>0.17617151</v>
      </c>
      <c r="AJ75" s="404"/>
      <c r="AK75" s="404"/>
      <c r="AL75" s="404">
        <f t="shared" si="19"/>
        <v>0.19</v>
      </c>
      <c r="AM75" s="404"/>
      <c r="AN75" s="404"/>
      <c r="AO75" s="404"/>
      <c r="AP75" s="495">
        <f t="shared" si="20"/>
        <v>0.17617151</v>
      </c>
      <c r="AQ75" s="404"/>
      <c r="AR75" s="404"/>
      <c r="AS75" s="495">
        <f t="shared" si="21"/>
        <v>0.19</v>
      </c>
      <c r="AT75" s="404"/>
      <c r="AU75" s="404"/>
      <c r="AV75" s="206" t="s">
        <v>247</v>
      </c>
    </row>
    <row r="76" spans="1:48" s="2" customFormat="1" ht="47.25">
      <c r="A76" s="238" t="str">
        <f>1!A74</f>
        <v>1.4.2.21</v>
      </c>
      <c r="B76" s="170" t="str">
        <f>1!B74</f>
        <v>Строительство КЛ-0,4 кВ от РУ-0,4 кВ 2КТП-244 до ВРУ-11 в ЖК "Вишнёвый сад" (2-ая очередь), п.Иноземцево, L= 0,14 км (АВБбШв 4х95)</v>
      </c>
      <c r="C76" s="506" t="str">
        <f>1!C74</f>
        <v>G_Gelezno_ТР21</v>
      </c>
      <c r="D76" s="127">
        <f>3!H73</f>
        <v>0.13190507</v>
      </c>
      <c r="E76" s="493">
        <f>3!I73</f>
        <v>0.13190507</v>
      </c>
      <c r="F76" s="404"/>
      <c r="G76" s="404">
        <f t="shared" si="11"/>
        <v>0.13190507</v>
      </c>
      <c r="H76" s="404"/>
      <c r="I76" s="404"/>
      <c r="J76" s="404">
        <f t="shared" si="12"/>
        <v>0.14</v>
      </c>
      <c r="K76" s="404"/>
      <c r="L76" s="404"/>
      <c r="M76" s="404"/>
      <c r="N76" s="493">
        <f t="shared" si="13"/>
        <v>0.13190507</v>
      </c>
      <c r="O76" s="404"/>
      <c r="P76" s="404"/>
      <c r="Q76" s="404">
        <v>0.14</v>
      </c>
      <c r="R76" s="404"/>
      <c r="S76" s="404"/>
      <c r="T76" s="404"/>
      <c r="U76" s="404">
        <f t="shared" si="14"/>
        <v>0.13190507</v>
      </c>
      <c r="V76" s="404"/>
      <c r="W76" s="404"/>
      <c r="X76" s="404">
        <f t="shared" si="15"/>
        <v>0.14</v>
      </c>
      <c r="Y76" s="404"/>
      <c r="Z76" s="404"/>
      <c r="AA76" s="404"/>
      <c r="AB76" s="404">
        <f t="shared" si="16"/>
        <v>0.13190507</v>
      </c>
      <c r="AC76" s="404"/>
      <c r="AD76" s="404"/>
      <c r="AE76" s="404">
        <f t="shared" si="17"/>
        <v>0.14</v>
      </c>
      <c r="AF76" s="404"/>
      <c r="AG76" s="404"/>
      <c r="AH76" s="404"/>
      <c r="AI76" s="404">
        <f t="shared" si="18"/>
        <v>0.13190507</v>
      </c>
      <c r="AJ76" s="404"/>
      <c r="AK76" s="404"/>
      <c r="AL76" s="404">
        <f t="shared" si="19"/>
        <v>0.14</v>
      </c>
      <c r="AM76" s="404"/>
      <c r="AN76" s="404"/>
      <c r="AO76" s="404"/>
      <c r="AP76" s="495">
        <f t="shared" si="20"/>
        <v>0.13190507</v>
      </c>
      <c r="AQ76" s="404"/>
      <c r="AR76" s="404"/>
      <c r="AS76" s="495">
        <f t="shared" si="21"/>
        <v>0.14</v>
      </c>
      <c r="AT76" s="404"/>
      <c r="AU76" s="404"/>
      <c r="AV76" s="206" t="s">
        <v>247</v>
      </c>
    </row>
    <row r="77" spans="1:48" s="2" customFormat="1" ht="47.25">
      <c r="A77" s="238" t="str">
        <f>1!A75</f>
        <v>1.4.2.22</v>
      </c>
      <c r="B77" s="170" t="str">
        <f>1!B75</f>
        <v>Строительство КЛ-0,4 кВ от РУ-0,4 кВ 2КТП-244 до ВРУ-13 в ЖК "Вишнёвый сад" (2-ая очередь), п.Иноземцево, L= 0,06 км (АВБбШв 4х120)</v>
      </c>
      <c r="C77" s="506" t="str">
        <f>1!C75</f>
        <v>G_Gelezno_ТР22</v>
      </c>
      <c r="D77" s="127">
        <f>3!H74</f>
        <v>0.07768097</v>
      </c>
      <c r="E77" s="493">
        <f>3!I74</f>
        <v>0.07768097</v>
      </c>
      <c r="F77" s="404"/>
      <c r="G77" s="404">
        <f t="shared" si="11"/>
        <v>0.07768097</v>
      </c>
      <c r="H77" s="404"/>
      <c r="I77" s="404"/>
      <c r="J77" s="404">
        <f t="shared" si="12"/>
        <v>0.06</v>
      </c>
      <c r="K77" s="404"/>
      <c r="L77" s="404"/>
      <c r="M77" s="404"/>
      <c r="N77" s="493">
        <f t="shared" si="13"/>
        <v>0.07768097</v>
      </c>
      <c r="O77" s="404"/>
      <c r="P77" s="404"/>
      <c r="Q77" s="404">
        <v>0.06</v>
      </c>
      <c r="R77" s="404"/>
      <c r="S77" s="404"/>
      <c r="T77" s="404"/>
      <c r="U77" s="404">
        <f t="shared" si="14"/>
        <v>0.07768097</v>
      </c>
      <c r="V77" s="404"/>
      <c r="W77" s="404"/>
      <c r="X77" s="404">
        <f t="shared" si="15"/>
        <v>0.06</v>
      </c>
      <c r="Y77" s="404"/>
      <c r="Z77" s="404"/>
      <c r="AA77" s="404"/>
      <c r="AB77" s="404">
        <f t="shared" si="16"/>
        <v>0.07768097</v>
      </c>
      <c r="AC77" s="404"/>
      <c r="AD77" s="404"/>
      <c r="AE77" s="404">
        <f t="shared" si="17"/>
        <v>0.06</v>
      </c>
      <c r="AF77" s="404"/>
      <c r="AG77" s="404"/>
      <c r="AH77" s="404"/>
      <c r="AI77" s="404">
        <f t="shared" si="18"/>
        <v>0.07768097</v>
      </c>
      <c r="AJ77" s="404"/>
      <c r="AK77" s="404"/>
      <c r="AL77" s="404">
        <f t="shared" si="19"/>
        <v>0.06</v>
      </c>
      <c r="AM77" s="404"/>
      <c r="AN77" s="404"/>
      <c r="AO77" s="404"/>
      <c r="AP77" s="495">
        <f t="shared" si="20"/>
        <v>0.07768097</v>
      </c>
      <c r="AQ77" s="404"/>
      <c r="AR77" s="404"/>
      <c r="AS77" s="495">
        <f t="shared" si="21"/>
        <v>0.06</v>
      </c>
      <c r="AT77" s="404"/>
      <c r="AU77" s="404"/>
      <c r="AV77" s="206" t="s">
        <v>247</v>
      </c>
    </row>
    <row r="78" spans="1:48" s="2" customFormat="1" ht="47.25">
      <c r="A78" s="238" t="str">
        <f>1!A76</f>
        <v>1.4.2.23</v>
      </c>
      <c r="B78" s="170" t="str">
        <f>1!B76</f>
        <v>Строительство КЛ-0,4 кВ от РУ-0,4 кВ 2КТП-244 до ВРУ-14 в ЖК "Вишнёвый сад" (2-ая очередь), п.Иноземцево, L= 0,1 км (АВБбШв 4х120)</v>
      </c>
      <c r="C78" s="506" t="str">
        <f>1!C76</f>
        <v>G_Gelezno_ТР23</v>
      </c>
      <c r="D78" s="127">
        <f>3!H75</f>
        <v>0.10803812</v>
      </c>
      <c r="E78" s="493">
        <f>3!I75</f>
        <v>0.10803812</v>
      </c>
      <c r="F78" s="404"/>
      <c r="G78" s="404">
        <f t="shared" si="11"/>
        <v>0.10803812</v>
      </c>
      <c r="H78" s="404"/>
      <c r="I78" s="404"/>
      <c r="J78" s="404">
        <f t="shared" si="12"/>
        <v>0.1</v>
      </c>
      <c r="K78" s="404"/>
      <c r="L78" s="404"/>
      <c r="M78" s="404"/>
      <c r="N78" s="493">
        <f t="shared" si="13"/>
        <v>0.10803812</v>
      </c>
      <c r="O78" s="404"/>
      <c r="P78" s="404"/>
      <c r="Q78" s="404">
        <v>0.1</v>
      </c>
      <c r="R78" s="404"/>
      <c r="S78" s="404"/>
      <c r="T78" s="404"/>
      <c r="U78" s="404">
        <f t="shared" si="14"/>
        <v>0.10803812</v>
      </c>
      <c r="V78" s="404"/>
      <c r="W78" s="404"/>
      <c r="X78" s="404">
        <f t="shared" si="15"/>
        <v>0.1</v>
      </c>
      <c r="Y78" s="404"/>
      <c r="Z78" s="404"/>
      <c r="AA78" s="404"/>
      <c r="AB78" s="404">
        <f t="shared" si="16"/>
        <v>0.10803812</v>
      </c>
      <c r="AC78" s="404"/>
      <c r="AD78" s="404"/>
      <c r="AE78" s="404">
        <f t="shared" si="17"/>
        <v>0.1</v>
      </c>
      <c r="AF78" s="404"/>
      <c r="AG78" s="404"/>
      <c r="AH78" s="404"/>
      <c r="AI78" s="404">
        <f t="shared" si="18"/>
        <v>0.10803812</v>
      </c>
      <c r="AJ78" s="404"/>
      <c r="AK78" s="404"/>
      <c r="AL78" s="404">
        <f t="shared" si="19"/>
        <v>0.1</v>
      </c>
      <c r="AM78" s="404"/>
      <c r="AN78" s="404"/>
      <c r="AO78" s="404"/>
      <c r="AP78" s="495">
        <f t="shared" si="20"/>
        <v>0.10803812</v>
      </c>
      <c r="AQ78" s="404"/>
      <c r="AR78" s="404"/>
      <c r="AS78" s="495">
        <f t="shared" si="21"/>
        <v>0.1</v>
      </c>
      <c r="AT78" s="404"/>
      <c r="AU78" s="404"/>
      <c r="AV78" s="206" t="s">
        <v>247</v>
      </c>
    </row>
    <row r="79" spans="1:48" s="2" customFormat="1" ht="47.25">
      <c r="A79" s="238" t="str">
        <f>1!A77</f>
        <v>1.4.2.24</v>
      </c>
      <c r="B79" s="170" t="str">
        <f>1!B77</f>
        <v>Строительство КЛ-0,4 кВ от РУ-0,4 кВ 2КТП-244 до ВРУ-16 в ЖК "Вишнёвый сад" (2-ая очередь), п.Иноземцево, L= 0,11 км (АВБбШв 4х95)</v>
      </c>
      <c r="C79" s="506" t="str">
        <f>1!C77</f>
        <v>G_Gelezno_ТР24</v>
      </c>
      <c r="D79" s="127">
        <f>3!H76</f>
        <v>0.11052751</v>
      </c>
      <c r="E79" s="493">
        <f>3!I76</f>
        <v>0.11052751</v>
      </c>
      <c r="F79" s="404"/>
      <c r="G79" s="404">
        <f t="shared" si="11"/>
        <v>0.11052751</v>
      </c>
      <c r="H79" s="404"/>
      <c r="I79" s="404"/>
      <c r="J79" s="404">
        <f t="shared" si="12"/>
        <v>0.11</v>
      </c>
      <c r="K79" s="404"/>
      <c r="L79" s="404"/>
      <c r="M79" s="404"/>
      <c r="N79" s="493">
        <f t="shared" si="13"/>
        <v>0.11052751</v>
      </c>
      <c r="O79" s="404"/>
      <c r="P79" s="404"/>
      <c r="Q79" s="404">
        <v>0.11</v>
      </c>
      <c r="R79" s="404"/>
      <c r="S79" s="404"/>
      <c r="T79" s="404"/>
      <c r="U79" s="404">
        <f t="shared" si="14"/>
        <v>0.11052751</v>
      </c>
      <c r="V79" s="404"/>
      <c r="W79" s="404"/>
      <c r="X79" s="404">
        <f t="shared" si="15"/>
        <v>0.11</v>
      </c>
      <c r="Y79" s="404"/>
      <c r="Z79" s="404"/>
      <c r="AA79" s="404"/>
      <c r="AB79" s="404">
        <f t="shared" si="16"/>
        <v>0.11052751</v>
      </c>
      <c r="AC79" s="404"/>
      <c r="AD79" s="404"/>
      <c r="AE79" s="404">
        <f t="shared" si="17"/>
        <v>0.11</v>
      </c>
      <c r="AF79" s="404"/>
      <c r="AG79" s="404"/>
      <c r="AH79" s="404"/>
      <c r="AI79" s="404">
        <f t="shared" si="18"/>
        <v>0.11052751</v>
      </c>
      <c r="AJ79" s="404"/>
      <c r="AK79" s="404"/>
      <c r="AL79" s="404">
        <f t="shared" si="19"/>
        <v>0.11</v>
      </c>
      <c r="AM79" s="404"/>
      <c r="AN79" s="404"/>
      <c r="AO79" s="404"/>
      <c r="AP79" s="495">
        <f t="shared" si="20"/>
        <v>0.11052751</v>
      </c>
      <c r="AQ79" s="404"/>
      <c r="AR79" s="404"/>
      <c r="AS79" s="495">
        <f t="shared" si="21"/>
        <v>0.11</v>
      </c>
      <c r="AT79" s="404"/>
      <c r="AU79" s="404"/>
      <c r="AV79" s="206" t="s">
        <v>247</v>
      </c>
    </row>
    <row r="80" spans="1:48" s="2" customFormat="1" ht="47.25">
      <c r="A80" s="238" t="str">
        <f>1!A78</f>
        <v>1.4.2.25</v>
      </c>
      <c r="B80" s="170" t="str">
        <f>1!B78</f>
        <v>Строительство КЛ-0,4 кВ от РУ-0,4 кВ 2КТП-244 до ВРУ-9 в ЖК "Вишнёвый сад" (2-ая очередь), п.Иноземцево, L= 0,215 км (АВБбШв 4х120)</v>
      </c>
      <c r="C80" s="506" t="str">
        <f>1!C78</f>
        <v>G_Gelezno_ТР25</v>
      </c>
      <c r="D80" s="127">
        <f>3!H77</f>
        <v>0.19531445</v>
      </c>
      <c r="E80" s="493">
        <f>3!I77</f>
        <v>0.19531445</v>
      </c>
      <c r="F80" s="404"/>
      <c r="G80" s="404">
        <f t="shared" si="11"/>
        <v>0.19531445</v>
      </c>
      <c r="H80" s="404"/>
      <c r="I80" s="404"/>
      <c r="J80" s="404">
        <f t="shared" si="12"/>
        <v>0.215</v>
      </c>
      <c r="K80" s="404"/>
      <c r="L80" s="404"/>
      <c r="M80" s="404"/>
      <c r="N80" s="493">
        <f t="shared" si="13"/>
        <v>0.19531445</v>
      </c>
      <c r="O80" s="404"/>
      <c r="P80" s="404"/>
      <c r="Q80" s="404">
        <v>0.215</v>
      </c>
      <c r="R80" s="404"/>
      <c r="S80" s="404"/>
      <c r="T80" s="404"/>
      <c r="U80" s="404">
        <f t="shared" si="14"/>
        <v>0.19531445</v>
      </c>
      <c r="V80" s="404"/>
      <c r="W80" s="404"/>
      <c r="X80" s="404">
        <f t="shared" si="15"/>
        <v>0.215</v>
      </c>
      <c r="Y80" s="404"/>
      <c r="Z80" s="404"/>
      <c r="AA80" s="404"/>
      <c r="AB80" s="404">
        <f t="shared" si="16"/>
        <v>0.19531445</v>
      </c>
      <c r="AC80" s="404"/>
      <c r="AD80" s="404"/>
      <c r="AE80" s="404">
        <f t="shared" si="17"/>
        <v>0.215</v>
      </c>
      <c r="AF80" s="404"/>
      <c r="AG80" s="404"/>
      <c r="AH80" s="404"/>
      <c r="AI80" s="404">
        <f t="shared" si="18"/>
        <v>0.19531445</v>
      </c>
      <c r="AJ80" s="404"/>
      <c r="AK80" s="404"/>
      <c r="AL80" s="404">
        <f t="shared" si="19"/>
        <v>0.215</v>
      </c>
      <c r="AM80" s="404"/>
      <c r="AN80" s="404"/>
      <c r="AO80" s="404"/>
      <c r="AP80" s="495">
        <f t="shared" si="20"/>
        <v>0.19531445</v>
      </c>
      <c r="AQ80" s="404"/>
      <c r="AR80" s="404"/>
      <c r="AS80" s="495">
        <f t="shared" si="21"/>
        <v>0.215</v>
      </c>
      <c r="AT80" s="404"/>
      <c r="AU80" s="404"/>
      <c r="AV80" s="206" t="s">
        <v>247</v>
      </c>
    </row>
    <row r="81" spans="1:48" s="2" customFormat="1" ht="47.25">
      <c r="A81" s="238" t="str">
        <f>1!A79</f>
        <v>1.4.2.26</v>
      </c>
      <c r="B81" s="170" t="str">
        <f>1!B79</f>
        <v>Строительство КЛ-0,4 кВ от ВРУ-1 МКЖД до ВРУ-2 МКЖД ул.Тихая,8, п.Иноземцево, L= 0,071 км (АВВГ 4х35)</v>
      </c>
      <c r="C81" s="506" t="str">
        <f>1!C79</f>
        <v>G_Gelezno_ТР26</v>
      </c>
      <c r="D81" s="127">
        <f>3!H78</f>
        <v>0.02549964</v>
      </c>
      <c r="E81" s="493">
        <f>3!I78</f>
        <v>0.02549964</v>
      </c>
      <c r="F81" s="404"/>
      <c r="G81" s="404">
        <f t="shared" si="11"/>
        <v>0.02549964</v>
      </c>
      <c r="H81" s="404"/>
      <c r="I81" s="404"/>
      <c r="J81" s="404">
        <f t="shared" si="12"/>
        <v>0.071</v>
      </c>
      <c r="K81" s="404"/>
      <c r="L81" s="404"/>
      <c r="M81" s="404"/>
      <c r="N81" s="493">
        <f t="shared" si="13"/>
        <v>0.02549964</v>
      </c>
      <c r="O81" s="404"/>
      <c r="P81" s="404"/>
      <c r="Q81" s="404">
        <v>0.071</v>
      </c>
      <c r="R81" s="404"/>
      <c r="S81" s="404"/>
      <c r="T81" s="404"/>
      <c r="U81" s="404">
        <f t="shared" si="14"/>
        <v>0.02549964</v>
      </c>
      <c r="V81" s="404"/>
      <c r="W81" s="404"/>
      <c r="X81" s="404">
        <f t="shared" si="15"/>
        <v>0.071</v>
      </c>
      <c r="Y81" s="404"/>
      <c r="Z81" s="404"/>
      <c r="AA81" s="404"/>
      <c r="AB81" s="404">
        <f t="shared" si="16"/>
        <v>0.02549964</v>
      </c>
      <c r="AC81" s="404"/>
      <c r="AD81" s="404"/>
      <c r="AE81" s="404">
        <f t="shared" si="17"/>
        <v>0.071</v>
      </c>
      <c r="AF81" s="404"/>
      <c r="AG81" s="404"/>
      <c r="AH81" s="404"/>
      <c r="AI81" s="404">
        <f t="shared" si="18"/>
        <v>0.02549964</v>
      </c>
      <c r="AJ81" s="404"/>
      <c r="AK81" s="404"/>
      <c r="AL81" s="404">
        <f t="shared" si="19"/>
        <v>0.071</v>
      </c>
      <c r="AM81" s="404"/>
      <c r="AN81" s="404"/>
      <c r="AO81" s="404"/>
      <c r="AP81" s="495">
        <f t="shared" si="20"/>
        <v>0.02549964</v>
      </c>
      <c r="AQ81" s="404"/>
      <c r="AR81" s="404"/>
      <c r="AS81" s="495">
        <f t="shared" si="21"/>
        <v>0.071</v>
      </c>
      <c r="AT81" s="404"/>
      <c r="AU81" s="404"/>
      <c r="AV81" s="206" t="s">
        <v>247</v>
      </c>
    </row>
    <row r="82" spans="1:48" s="2" customFormat="1" ht="47.25">
      <c r="A82" s="238" t="str">
        <f>1!A80</f>
        <v>1.4.2.27</v>
      </c>
      <c r="B82" s="170" t="str">
        <f>1!B80</f>
        <v>Строительство КЛ-0,4 кВ от ВРУ-2 МКЖД до ВРУ-3 МКЖД ул.Тихая,8, п.Иноземцево, L= 0,025 км (АВВГ 4х35)</v>
      </c>
      <c r="C82" s="506" t="str">
        <f>1!C80</f>
        <v>G_Gelezno_ТР27</v>
      </c>
      <c r="D82" s="127">
        <f>3!H79</f>
        <v>0.01096922</v>
      </c>
      <c r="E82" s="493">
        <f>3!I79</f>
        <v>0.01096922</v>
      </c>
      <c r="F82" s="404"/>
      <c r="G82" s="404">
        <f t="shared" si="11"/>
        <v>0.01096922</v>
      </c>
      <c r="H82" s="404"/>
      <c r="I82" s="404"/>
      <c r="J82" s="404">
        <f t="shared" si="12"/>
        <v>0.025</v>
      </c>
      <c r="K82" s="404"/>
      <c r="L82" s="404"/>
      <c r="M82" s="404"/>
      <c r="N82" s="493">
        <f t="shared" si="13"/>
        <v>0.01096922</v>
      </c>
      <c r="O82" s="404"/>
      <c r="P82" s="404"/>
      <c r="Q82" s="404">
        <v>0.025</v>
      </c>
      <c r="R82" s="404"/>
      <c r="S82" s="404"/>
      <c r="T82" s="404"/>
      <c r="U82" s="404">
        <f t="shared" si="14"/>
        <v>0.01096922</v>
      </c>
      <c r="V82" s="404"/>
      <c r="W82" s="404"/>
      <c r="X82" s="404">
        <f t="shared" si="15"/>
        <v>0.025</v>
      </c>
      <c r="Y82" s="404"/>
      <c r="Z82" s="404"/>
      <c r="AA82" s="404"/>
      <c r="AB82" s="404">
        <f t="shared" si="16"/>
        <v>0.01096922</v>
      </c>
      <c r="AC82" s="404"/>
      <c r="AD82" s="404"/>
      <c r="AE82" s="404">
        <f t="shared" si="17"/>
        <v>0.025</v>
      </c>
      <c r="AF82" s="404"/>
      <c r="AG82" s="404"/>
      <c r="AH82" s="404"/>
      <c r="AI82" s="404">
        <f t="shared" si="18"/>
        <v>0.01096922</v>
      </c>
      <c r="AJ82" s="404"/>
      <c r="AK82" s="404"/>
      <c r="AL82" s="404">
        <f t="shared" si="19"/>
        <v>0.025</v>
      </c>
      <c r="AM82" s="404"/>
      <c r="AN82" s="404"/>
      <c r="AO82" s="404"/>
      <c r="AP82" s="495">
        <f t="shared" si="20"/>
        <v>0.01096922</v>
      </c>
      <c r="AQ82" s="404"/>
      <c r="AR82" s="404"/>
      <c r="AS82" s="495">
        <f t="shared" si="21"/>
        <v>0.025</v>
      </c>
      <c r="AT82" s="404"/>
      <c r="AU82" s="404"/>
      <c r="AV82" s="206" t="s">
        <v>247</v>
      </c>
    </row>
    <row r="83" spans="1:48" s="2" customFormat="1" ht="47.25">
      <c r="A83" s="238" t="str">
        <f>1!A81</f>
        <v>1.4.2.28</v>
      </c>
      <c r="B83" s="170" t="str">
        <f>1!B81</f>
        <v>Строительство КЛ-0,4 кВ от ВРУ-3 МКЖД до РУ-0,4 кВ КТП-248 ул.Тихая,8, п.Иноземцево, L= 0,107 км (АВВГ 4х35)</v>
      </c>
      <c r="C83" s="506" t="str">
        <f>1!C81</f>
        <v>G_Gelezno_ТР28</v>
      </c>
      <c r="D83" s="127">
        <f>3!H80</f>
        <v>0.04121472</v>
      </c>
      <c r="E83" s="493">
        <f>3!I80</f>
        <v>0.04121472</v>
      </c>
      <c r="F83" s="404"/>
      <c r="G83" s="404">
        <f t="shared" si="11"/>
        <v>0.04121472</v>
      </c>
      <c r="H83" s="404"/>
      <c r="I83" s="404"/>
      <c r="J83" s="404">
        <f t="shared" si="12"/>
        <v>0.107</v>
      </c>
      <c r="K83" s="404"/>
      <c r="L83" s="404"/>
      <c r="M83" s="404"/>
      <c r="N83" s="493">
        <f t="shared" si="13"/>
        <v>0.04121472</v>
      </c>
      <c r="O83" s="404"/>
      <c r="P83" s="404"/>
      <c r="Q83" s="404">
        <v>0.107</v>
      </c>
      <c r="R83" s="404"/>
      <c r="S83" s="404"/>
      <c r="T83" s="404"/>
      <c r="U83" s="404">
        <f t="shared" si="14"/>
        <v>0.04121472</v>
      </c>
      <c r="V83" s="404"/>
      <c r="W83" s="404"/>
      <c r="X83" s="404">
        <f t="shared" si="15"/>
        <v>0.107</v>
      </c>
      <c r="Y83" s="404"/>
      <c r="Z83" s="404"/>
      <c r="AA83" s="404"/>
      <c r="AB83" s="404">
        <f t="shared" si="16"/>
        <v>0.04121472</v>
      </c>
      <c r="AC83" s="404"/>
      <c r="AD83" s="404"/>
      <c r="AE83" s="404">
        <f t="shared" si="17"/>
        <v>0.107</v>
      </c>
      <c r="AF83" s="404"/>
      <c r="AG83" s="404"/>
      <c r="AH83" s="404"/>
      <c r="AI83" s="404">
        <f t="shared" si="18"/>
        <v>0.04121472</v>
      </c>
      <c r="AJ83" s="404"/>
      <c r="AK83" s="404"/>
      <c r="AL83" s="404">
        <f t="shared" si="19"/>
        <v>0.107</v>
      </c>
      <c r="AM83" s="404"/>
      <c r="AN83" s="404"/>
      <c r="AO83" s="404"/>
      <c r="AP83" s="495">
        <f t="shared" si="20"/>
        <v>0.04121472</v>
      </c>
      <c r="AQ83" s="404"/>
      <c r="AR83" s="404"/>
      <c r="AS83" s="495">
        <f t="shared" si="21"/>
        <v>0.107</v>
      </c>
      <c r="AT83" s="404"/>
      <c r="AU83" s="404"/>
      <c r="AV83" s="206" t="s">
        <v>247</v>
      </c>
    </row>
    <row r="84" spans="1:48" s="2" customFormat="1" ht="47.25">
      <c r="A84" s="238" t="str">
        <f>1!A82</f>
        <v>1.4.2.29</v>
      </c>
      <c r="B84" s="170" t="str">
        <f>1!B82</f>
        <v>Строительство КЛ-0,4 кВ от РУ-0,4 кВ КТП-248 до ВРУ-1 МКЖД ул.Тихая,8, п.Иноземцево, L= 0,102 км (АВВГ 4х35)</v>
      </c>
      <c r="C84" s="506" t="str">
        <f>1!C82</f>
        <v>G_Gelezno_ТР29</v>
      </c>
      <c r="D84" s="127">
        <f>3!H81</f>
        <v>0.03955251</v>
      </c>
      <c r="E84" s="493">
        <f>3!I81</f>
        <v>0.03955251</v>
      </c>
      <c r="F84" s="404"/>
      <c r="G84" s="404">
        <f t="shared" si="11"/>
        <v>0.03955251</v>
      </c>
      <c r="H84" s="404"/>
      <c r="I84" s="404"/>
      <c r="J84" s="404">
        <f t="shared" si="12"/>
        <v>0.102</v>
      </c>
      <c r="K84" s="404"/>
      <c r="L84" s="404"/>
      <c r="M84" s="404"/>
      <c r="N84" s="493">
        <f t="shared" si="13"/>
        <v>0.03955251</v>
      </c>
      <c r="O84" s="404"/>
      <c r="P84" s="404"/>
      <c r="Q84" s="404">
        <v>0.102</v>
      </c>
      <c r="R84" s="404"/>
      <c r="S84" s="404"/>
      <c r="T84" s="404"/>
      <c r="U84" s="404">
        <f t="shared" si="14"/>
        <v>0.03955251</v>
      </c>
      <c r="V84" s="404"/>
      <c r="W84" s="404"/>
      <c r="X84" s="404">
        <f t="shared" si="15"/>
        <v>0.102</v>
      </c>
      <c r="Y84" s="404"/>
      <c r="Z84" s="404"/>
      <c r="AA84" s="404"/>
      <c r="AB84" s="404">
        <f t="shared" si="16"/>
        <v>0.03955251</v>
      </c>
      <c r="AC84" s="404"/>
      <c r="AD84" s="404"/>
      <c r="AE84" s="404">
        <f t="shared" si="17"/>
        <v>0.102</v>
      </c>
      <c r="AF84" s="404"/>
      <c r="AG84" s="404"/>
      <c r="AH84" s="404"/>
      <c r="AI84" s="404">
        <f t="shared" si="18"/>
        <v>0.03955251</v>
      </c>
      <c r="AJ84" s="404"/>
      <c r="AK84" s="404"/>
      <c r="AL84" s="404">
        <f t="shared" si="19"/>
        <v>0.102</v>
      </c>
      <c r="AM84" s="404"/>
      <c r="AN84" s="404"/>
      <c r="AO84" s="404"/>
      <c r="AP84" s="495">
        <f t="shared" si="20"/>
        <v>0.03955251</v>
      </c>
      <c r="AQ84" s="404"/>
      <c r="AR84" s="404"/>
      <c r="AS84" s="495">
        <f t="shared" si="21"/>
        <v>0.102</v>
      </c>
      <c r="AT84" s="404"/>
      <c r="AU84" s="404"/>
      <c r="AV84" s="206" t="s">
        <v>247</v>
      </c>
    </row>
    <row r="85" spans="1:48" s="2" customFormat="1" ht="47.25">
      <c r="A85" s="238" t="str">
        <f>1!A83</f>
        <v>1.4.2.30</v>
      </c>
      <c r="B85" s="170" t="str">
        <f>1!B83</f>
        <v>Строительство КЛ-0,4 кВ от РУ-0,4 кВ КТП-105 до РЩ МКЖД ул.Октябрьская,96 Б, г.Железноводск, L= 0,186 км (АВБбШВ 4х95)</v>
      </c>
      <c r="C85" s="506" t="str">
        <f>1!C83</f>
        <v>G_Gelezno_ТР30</v>
      </c>
      <c r="D85" s="127">
        <f>3!H82</f>
        <v>0.13003376</v>
      </c>
      <c r="E85" s="493">
        <f>3!I82</f>
        <v>0.13003376</v>
      </c>
      <c r="F85" s="404"/>
      <c r="G85" s="404">
        <f t="shared" si="11"/>
        <v>0.13003376</v>
      </c>
      <c r="H85" s="404"/>
      <c r="I85" s="404"/>
      <c r="J85" s="404">
        <f t="shared" si="12"/>
        <v>0.186</v>
      </c>
      <c r="K85" s="404"/>
      <c r="L85" s="404"/>
      <c r="M85" s="404"/>
      <c r="N85" s="493">
        <f t="shared" si="13"/>
        <v>0.13003376</v>
      </c>
      <c r="O85" s="404"/>
      <c r="P85" s="404"/>
      <c r="Q85" s="404">
        <v>0.186</v>
      </c>
      <c r="R85" s="404"/>
      <c r="S85" s="404"/>
      <c r="T85" s="404"/>
      <c r="U85" s="404">
        <f t="shared" si="14"/>
        <v>0.13003376</v>
      </c>
      <c r="V85" s="404"/>
      <c r="W85" s="404"/>
      <c r="X85" s="404">
        <f t="shared" si="15"/>
        <v>0.186</v>
      </c>
      <c r="Y85" s="404"/>
      <c r="Z85" s="404"/>
      <c r="AA85" s="404"/>
      <c r="AB85" s="404">
        <f t="shared" si="16"/>
        <v>0.13003376</v>
      </c>
      <c r="AC85" s="404"/>
      <c r="AD85" s="404"/>
      <c r="AE85" s="404">
        <f t="shared" si="17"/>
        <v>0.186</v>
      </c>
      <c r="AF85" s="404"/>
      <c r="AG85" s="404"/>
      <c r="AH85" s="404"/>
      <c r="AI85" s="404">
        <f t="shared" si="18"/>
        <v>0.13003376</v>
      </c>
      <c r="AJ85" s="404"/>
      <c r="AK85" s="404"/>
      <c r="AL85" s="404">
        <f t="shared" si="19"/>
        <v>0.186</v>
      </c>
      <c r="AM85" s="404"/>
      <c r="AN85" s="404"/>
      <c r="AO85" s="404"/>
      <c r="AP85" s="495">
        <f t="shared" si="20"/>
        <v>0.13003376</v>
      </c>
      <c r="AQ85" s="404"/>
      <c r="AR85" s="404"/>
      <c r="AS85" s="495">
        <f t="shared" si="21"/>
        <v>0.186</v>
      </c>
      <c r="AT85" s="404"/>
      <c r="AU85" s="404"/>
      <c r="AV85" s="206" t="s">
        <v>247</v>
      </c>
    </row>
    <row r="86" spans="1:48" s="2" customFormat="1" ht="47.25">
      <c r="A86" s="238" t="str">
        <f>1!A84</f>
        <v>1.4.2.31</v>
      </c>
      <c r="B86" s="170" t="str">
        <f>1!B84</f>
        <v>Строительство КЛ-0,4 кВ от ВРУ-12 до ВРУ-2 в ЖК "Вишнёвый сад" (2-ая очередь), п.Иноземцево, L= 0,1 км (АВБбШВ 4х150)</v>
      </c>
      <c r="C86" s="506" t="str">
        <f>1!C84</f>
        <v>G_Gelezno_ТР31</v>
      </c>
      <c r="D86" s="127">
        <f>3!H83</f>
        <v>0.11731838</v>
      </c>
      <c r="E86" s="493">
        <f>3!I83</f>
        <v>0.11731838</v>
      </c>
      <c r="F86" s="404"/>
      <c r="G86" s="404">
        <f t="shared" si="11"/>
        <v>0.11731838</v>
      </c>
      <c r="H86" s="404"/>
      <c r="I86" s="404"/>
      <c r="J86" s="404">
        <f t="shared" si="12"/>
        <v>0.1</v>
      </c>
      <c r="K86" s="404"/>
      <c r="L86" s="404"/>
      <c r="M86" s="404"/>
      <c r="N86" s="493">
        <f t="shared" si="13"/>
        <v>0.11731838</v>
      </c>
      <c r="O86" s="404"/>
      <c r="P86" s="404"/>
      <c r="Q86" s="404">
        <v>0.1</v>
      </c>
      <c r="R86" s="404"/>
      <c r="S86" s="404"/>
      <c r="T86" s="404"/>
      <c r="U86" s="404">
        <f t="shared" si="14"/>
        <v>0.11731838</v>
      </c>
      <c r="V86" s="404"/>
      <c r="W86" s="404"/>
      <c r="X86" s="404">
        <f t="shared" si="15"/>
        <v>0.1</v>
      </c>
      <c r="Y86" s="404"/>
      <c r="Z86" s="404"/>
      <c r="AA86" s="404"/>
      <c r="AB86" s="404">
        <f t="shared" si="16"/>
        <v>0.11731838</v>
      </c>
      <c r="AC86" s="404"/>
      <c r="AD86" s="404"/>
      <c r="AE86" s="404">
        <f t="shared" si="17"/>
        <v>0.1</v>
      </c>
      <c r="AF86" s="404"/>
      <c r="AG86" s="404"/>
      <c r="AH86" s="404"/>
      <c r="AI86" s="404">
        <f t="shared" si="18"/>
        <v>0.11731838</v>
      </c>
      <c r="AJ86" s="404"/>
      <c r="AK86" s="404"/>
      <c r="AL86" s="404">
        <f t="shared" si="19"/>
        <v>0.1</v>
      </c>
      <c r="AM86" s="404"/>
      <c r="AN86" s="404"/>
      <c r="AO86" s="404"/>
      <c r="AP86" s="495">
        <f t="shared" si="20"/>
        <v>0.11731838</v>
      </c>
      <c r="AQ86" s="404"/>
      <c r="AR86" s="404"/>
      <c r="AS86" s="495">
        <f t="shared" si="21"/>
        <v>0.1</v>
      </c>
      <c r="AT86" s="404"/>
      <c r="AU86" s="404"/>
      <c r="AV86" s="206" t="s">
        <v>247</v>
      </c>
    </row>
    <row r="87" spans="1:48" s="2" customFormat="1" ht="47.25">
      <c r="A87" s="238" t="str">
        <f>1!A85</f>
        <v>1.4.2.32</v>
      </c>
      <c r="B87" s="170" t="str">
        <f>1!B85</f>
        <v>Строительство КЛ-0,4кВ от ВРУ-16 до ВРУ-10 в ЖК"Вишнёвый сад" (2-ая очередь), п.Иноземцево, L= 0,035 км (АВБбШВ 4х95)</v>
      </c>
      <c r="C87" s="506" t="str">
        <f>1!C85</f>
        <v>G_Gelezno_ТР32</v>
      </c>
      <c r="D87" s="127">
        <f>3!H84</f>
        <v>0.04696934</v>
      </c>
      <c r="E87" s="493">
        <f>3!I84</f>
        <v>0.04696934</v>
      </c>
      <c r="F87" s="404"/>
      <c r="G87" s="404">
        <f t="shared" si="11"/>
        <v>0.04696934</v>
      </c>
      <c r="H87" s="404"/>
      <c r="I87" s="404"/>
      <c r="J87" s="404">
        <f t="shared" si="12"/>
        <v>0.035</v>
      </c>
      <c r="K87" s="404"/>
      <c r="L87" s="404"/>
      <c r="M87" s="404"/>
      <c r="N87" s="493">
        <f t="shared" si="13"/>
        <v>0.04696934</v>
      </c>
      <c r="O87" s="404"/>
      <c r="P87" s="404"/>
      <c r="Q87" s="404">
        <v>0.035</v>
      </c>
      <c r="R87" s="404"/>
      <c r="S87" s="404"/>
      <c r="T87" s="404"/>
      <c r="U87" s="404">
        <f t="shared" si="14"/>
        <v>0.04696934</v>
      </c>
      <c r="V87" s="404"/>
      <c r="W87" s="404"/>
      <c r="X87" s="404">
        <f t="shared" si="15"/>
        <v>0.035</v>
      </c>
      <c r="Y87" s="404"/>
      <c r="Z87" s="404"/>
      <c r="AA87" s="404"/>
      <c r="AB87" s="404">
        <f t="shared" si="16"/>
        <v>0.04696934</v>
      </c>
      <c r="AC87" s="404"/>
      <c r="AD87" s="404"/>
      <c r="AE87" s="404">
        <f t="shared" si="17"/>
        <v>0.035</v>
      </c>
      <c r="AF87" s="404"/>
      <c r="AG87" s="404"/>
      <c r="AH87" s="404"/>
      <c r="AI87" s="404">
        <f t="shared" si="18"/>
        <v>0.04696934</v>
      </c>
      <c r="AJ87" s="404"/>
      <c r="AK87" s="404"/>
      <c r="AL87" s="404">
        <f t="shared" si="19"/>
        <v>0.035</v>
      </c>
      <c r="AM87" s="404"/>
      <c r="AN87" s="404"/>
      <c r="AO87" s="404"/>
      <c r="AP87" s="495">
        <f t="shared" si="20"/>
        <v>0.04696934</v>
      </c>
      <c r="AQ87" s="404"/>
      <c r="AR87" s="404"/>
      <c r="AS87" s="495">
        <f t="shared" si="21"/>
        <v>0.035</v>
      </c>
      <c r="AT87" s="404"/>
      <c r="AU87" s="404"/>
      <c r="AV87" s="206" t="s">
        <v>247</v>
      </c>
    </row>
    <row r="88" spans="1:48" s="2" customFormat="1" ht="47.25">
      <c r="A88" s="238" t="str">
        <f>1!A86</f>
        <v>1.4.2.33</v>
      </c>
      <c r="B88" s="170" t="str">
        <f>1!B86</f>
        <v>Строительство КЛ-0,4 кВ от опоры ВЛ-0,4 кВ № 21 до ВРУ-1 в ЖК "Вишнёвый сад" (2-ая очередь), п.Иноземцево, L= 0,05 км (АВБбШВ 4х120)</v>
      </c>
      <c r="C88" s="506" t="str">
        <f>1!C86</f>
        <v>G_Gelezno_ТР33</v>
      </c>
      <c r="D88" s="127">
        <f>3!H85</f>
        <v>0.06008357</v>
      </c>
      <c r="E88" s="493">
        <f>3!I85</f>
        <v>0.06008357</v>
      </c>
      <c r="F88" s="404"/>
      <c r="G88" s="404">
        <f t="shared" si="11"/>
        <v>0.06008357</v>
      </c>
      <c r="H88" s="404"/>
      <c r="I88" s="404"/>
      <c r="J88" s="404">
        <f t="shared" si="12"/>
        <v>0.05</v>
      </c>
      <c r="K88" s="404"/>
      <c r="L88" s="404"/>
      <c r="M88" s="404"/>
      <c r="N88" s="493">
        <f t="shared" si="13"/>
        <v>0.06008357</v>
      </c>
      <c r="O88" s="404"/>
      <c r="P88" s="404"/>
      <c r="Q88" s="404">
        <v>0.05</v>
      </c>
      <c r="R88" s="404"/>
      <c r="S88" s="404"/>
      <c r="T88" s="404"/>
      <c r="U88" s="404">
        <f t="shared" si="14"/>
        <v>0.06008357</v>
      </c>
      <c r="V88" s="404"/>
      <c r="W88" s="404"/>
      <c r="X88" s="404">
        <f t="shared" si="15"/>
        <v>0.05</v>
      </c>
      <c r="Y88" s="404"/>
      <c r="Z88" s="404"/>
      <c r="AA88" s="404"/>
      <c r="AB88" s="404">
        <f t="shared" si="16"/>
        <v>0.06008357</v>
      </c>
      <c r="AC88" s="404"/>
      <c r="AD88" s="404"/>
      <c r="AE88" s="404">
        <f t="shared" si="17"/>
        <v>0.05</v>
      </c>
      <c r="AF88" s="404"/>
      <c r="AG88" s="404"/>
      <c r="AH88" s="404"/>
      <c r="AI88" s="404">
        <f t="shared" si="18"/>
        <v>0.06008357</v>
      </c>
      <c r="AJ88" s="404"/>
      <c r="AK88" s="404"/>
      <c r="AL88" s="404">
        <f t="shared" si="19"/>
        <v>0.05</v>
      </c>
      <c r="AM88" s="404"/>
      <c r="AN88" s="404"/>
      <c r="AO88" s="404"/>
      <c r="AP88" s="495">
        <f t="shared" si="20"/>
        <v>0.06008357</v>
      </c>
      <c r="AQ88" s="404"/>
      <c r="AR88" s="404"/>
      <c r="AS88" s="495">
        <f t="shared" si="21"/>
        <v>0.05</v>
      </c>
      <c r="AT88" s="404"/>
      <c r="AU88" s="404"/>
      <c r="AV88" s="206" t="s">
        <v>247</v>
      </c>
    </row>
    <row r="89" spans="1:48" s="2" customFormat="1" ht="47.25">
      <c r="A89" s="238" t="str">
        <f>1!A87</f>
        <v>1.4.2.34</v>
      </c>
      <c r="B89" s="170" t="str">
        <f>1!B87</f>
        <v>Строительство КЛ-0,4 кВ от РУ-0,4 кВ 2КТП-244 до ВРУ-12 в ЖК "Вишнёвый сад" (2-ая очередь), п.Иноземцево, L= 0,17 км (АВБбШВ 4х185) км</v>
      </c>
      <c r="C89" s="506" t="str">
        <f>1!C87</f>
        <v>G_Gelezno_ТР34</v>
      </c>
      <c r="D89" s="127">
        <f>3!H86</f>
        <v>0.22782302</v>
      </c>
      <c r="E89" s="493">
        <f>3!I86</f>
        <v>0.22782302</v>
      </c>
      <c r="F89" s="404"/>
      <c r="G89" s="404">
        <f t="shared" si="11"/>
        <v>0.22782302</v>
      </c>
      <c r="H89" s="404"/>
      <c r="I89" s="404"/>
      <c r="J89" s="404">
        <f t="shared" si="12"/>
        <v>0.17</v>
      </c>
      <c r="K89" s="404"/>
      <c r="L89" s="404"/>
      <c r="M89" s="404"/>
      <c r="N89" s="493">
        <f t="shared" si="13"/>
        <v>0.22782302</v>
      </c>
      <c r="O89" s="404"/>
      <c r="P89" s="404"/>
      <c r="Q89" s="404">
        <v>0.17</v>
      </c>
      <c r="R89" s="404"/>
      <c r="S89" s="404"/>
      <c r="T89" s="404"/>
      <c r="U89" s="404">
        <f t="shared" si="14"/>
        <v>0.22782302</v>
      </c>
      <c r="V89" s="404"/>
      <c r="W89" s="404"/>
      <c r="X89" s="404">
        <f t="shared" si="15"/>
        <v>0.17</v>
      </c>
      <c r="Y89" s="404"/>
      <c r="Z89" s="404"/>
      <c r="AA89" s="404"/>
      <c r="AB89" s="404">
        <f t="shared" si="16"/>
        <v>0.22782302</v>
      </c>
      <c r="AC89" s="404"/>
      <c r="AD89" s="404"/>
      <c r="AE89" s="404">
        <f t="shared" si="17"/>
        <v>0.17</v>
      </c>
      <c r="AF89" s="404"/>
      <c r="AG89" s="404"/>
      <c r="AH89" s="404"/>
      <c r="AI89" s="404">
        <f t="shared" si="18"/>
        <v>0.22782302</v>
      </c>
      <c r="AJ89" s="404"/>
      <c r="AK89" s="404"/>
      <c r="AL89" s="404">
        <f t="shared" si="19"/>
        <v>0.17</v>
      </c>
      <c r="AM89" s="404"/>
      <c r="AN89" s="404"/>
      <c r="AO89" s="404"/>
      <c r="AP89" s="495">
        <f t="shared" si="20"/>
        <v>0.22782302</v>
      </c>
      <c r="AQ89" s="404"/>
      <c r="AR89" s="404"/>
      <c r="AS89" s="495">
        <f t="shared" si="21"/>
        <v>0.17</v>
      </c>
      <c r="AT89" s="404"/>
      <c r="AU89" s="404"/>
      <c r="AV89" s="206" t="s">
        <v>247</v>
      </c>
    </row>
    <row r="90" spans="1:48" s="2" customFormat="1" ht="47.25">
      <c r="A90" s="238" t="str">
        <f>1!A88</f>
        <v>1.4.2.35</v>
      </c>
      <c r="B90" s="170" t="str">
        <f>1!B88</f>
        <v>Строительство КЛ-0,4 кВ от РУ-0,4 кВ 2КТП-244 до ВРУ-15 в ЖК "Вишнёвый сад" (2-ая очередь), п.Иноземцево, L= 0,08 км (АВБбШВ 4х95)</v>
      </c>
      <c r="C90" s="506" t="str">
        <f>1!C88</f>
        <v>G_Gelezno_ТР35</v>
      </c>
      <c r="D90" s="127">
        <f>3!H87</f>
        <v>0.08915185</v>
      </c>
      <c r="E90" s="493">
        <f>3!I87</f>
        <v>0.08915185</v>
      </c>
      <c r="F90" s="404"/>
      <c r="G90" s="404">
        <f t="shared" si="11"/>
        <v>0.08915185</v>
      </c>
      <c r="H90" s="404"/>
      <c r="I90" s="404"/>
      <c r="J90" s="404">
        <f t="shared" si="12"/>
        <v>0.08</v>
      </c>
      <c r="K90" s="404"/>
      <c r="L90" s="404"/>
      <c r="M90" s="404"/>
      <c r="N90" s="493">
        <f t="shared" si="13"/>
        <v>0.08915185</v>
      </c>
      <c r="O90" s="404"/>
      <c r="P90" s="404"/>
      <c r="Q90" s="404">
        <v>0.08</v>
      </c>
      <c r="R90" s="404"/>
      <c r="S90" s="404"/>
      <c r="T90" s="404"/>
      <c r="U90" s="404">
        <f t="shared" si="14"/>
        <v>0.08915185</v>
      </c>
      <c r="V90" s="404"/>
      <c r="W90" s="404"/>
      <c r="X90" s="404">
        <f t="shared" si="15"/>
        <v>0.08</v>
      </c>
      <c r="Y90" s="404"/>
      <c r="Z90" s="404"/>
      <c r="AA90" s="404"/>
      <c r="AB90" s="404">
        <f t="shared" si="16"/>
        <v>0.08915185</v>
      </c>
      <c r="AC90" s="404"/>
      <c r="AD90" s="404"/>
      <c r="AE90" s="404">
        <f t="shared" si="17"/>
        <v>0.08</v>
      </c>
      <c r="AF90" s="404"/>
      <c r="AG90" s="404"/>
      <c r="AH90" s="404"/>
      <c r="AI90" s="404">
        <f t="shared" si="18"/>
        <v>0.08915185</v>
      </c>
      <c r="AJ90" s="404"/>
      <c r="AK90" s="404"/>
      <c r="AL90" s="404">
        <f t="shared" si="19"/>
        <v>0.08</v>
      </c>
      <c r="AM90" s="404"/>
      <c r="AN90" s="404"/>
      <c r="AO90" s="404"/>
      <c r="AP90" s="495">
        <f t="shared" si="20"/>
        <v>0.08915185</v>
      </c>
      <c r="AQ90" s="404"/>
      <c r="AR90" s="404"/>
      <c r="AS90" s="495">
        <f t="shared" si="21"/>
        <v>0.08</v>
      </c>
      <c r="AT90" s="404"/>
      <c r="AU90" s="404"/>
      <c r="AV90" s="206" t="s">
        <v>247</v>
      </c>
    </row>
    <row r="91" spans="1:48" s="2" customFormat="1" ht="63">
      <c r="A91" s="238" t="str">
        <f>1!A89</f>
        <v>1.4.2.36</v>
      </c>
      <c r="B91" s="170" t="str">
        <f>1!B89</f>
        <v>Строительство ВЛ-0,4 кВ от РУ-0,4 кВ КТП-241 ЖК "Вишнёвый сад" (2-ая очередь), п.Иноземцево, СИП-2 3х150+1х95 - 0,204 км СИП-2 3х120+1х95 - 0,275 км и СИП-2 3х95+1х70 - 0,408 км</v>
      </c>
      <c r="C91" s="506" t="str">
        <f>1!C89</f>
        <v>G_Gelezno_ТР36</v>
      </c>
      <c r="D91" s="127">
        <f>3!H88</f>
        <v>1.23239373</v>
      </c>
      <c r="E91" s="493">
        <f>3!I88</f>
        <v>1.23239373</v>
      </c>
      <c r="F91" s="404"/>
      <c r="G91" s="404">
        <f t="shared" si="11"/>
        <v>1.23239373</v>
      </c>
      <c r="H91" s="404"/>
      <c r="I91" s="404"/>
      <c r="J91" s="404">
        <f t="shared" si="12"/>
        <v>0.887</v>
      </c>
      <c r="K91" s="404"/>
      <c r="L91" s="404"/>
      <c r="M91" s="404"/>
      <c r="N91" s="493">
        <f t="shared" si="13"/>
        <v>1.23239373</v>
      </c>
      <c r="O91" s="404"/>
      <c r="P91" s="404"/>
      <c r="Q91" s="404">
        <f>0.204+0.275+0.408</f>
        <v>0.887</v>
      </c>
      <c r="R91" s="404"/>
      <c r="S91" s="404"/>
      <c r="T91" s="404"/>
      <c r="U91" s="404">
        <f t="shared" si="14"/>
        <v>1.23239373</v>
      </c>
      <c r="V91" s="404"/>
      <c r="W91" s="404"/>
      <c r="X91" s="404">
        <f t="shared" si="15"/>
        <v>0.887</v>
      </c>
      <c r="Y91" s="404"/>
      <c r="Z91" s="404"/>
      <c r="AA91" s="404"/>
      <c r="AB91" s="404">
        <f t="shared" si="16"/>
        <v>1.23239373</v>
      </c>
      <c r="AC91" s="404"/>
      <c r="AD91" s="404"/>
      <c r="AE91" s="404">
        <f t="shared" si="17"/>
        <v>0.887</v>
      </c>
      <c r="AF91" s="404"/>
      <c r="AG91" s="404"/>
      <c r="AH91" s="404"/>
      <c r="AI91" s="404">
        <f t="shared" si="18"/>
        <v>1.23239373</v>
      </c>
      <c r="AJ91" s="404"/>
      <c r="AK91" s="404"/>
      <c r="AL91" s="404">
        <f t="shared" si="19"/>
        <v>0.887</v>
      </c>
      <c r="AM91" s="404"/>
      <c r="AN91" s="404"/>
      <c r="AO91" s="404"/>
      <c r="AP91" s="495">
        <f t="shared" si="20"/>
        <v>1.23239373</v>
      </c>
      <c r="AQ91" s="404"/>
      <c r="AR91" s="404"/>
      <c r="AS91" s="495">
        <f t="shared" si="21"/>
        <v>0.887</v>
      </c>
      <c r="AT91" s="404"/>
      <c r="AU91" s="404"/>
      <c r="AV91" s="206" t="s">
        <v>247</v>
      </c>
    </row>
    <row r="92" spans="1:48" s="2" customFormat="1" ht="31.5">
      <c r="A92" s="238" t="str">
        <f>1!A90</f>
        <v>1.4.2.37</v>
      </c>
      <c r="B92" s="170" t="str">
        <f>1!B90</f>
        <v>Строительство КТП-249 пер.Промышленный,24, п.Иноземцево (ТМГ-630 кВА)(Линия 2), L=0,143 км</v>
      </c>
      <c r="C92" s="506" t="str">
        <f>1!C90</f>
        <v>G_Gelezno_ТР37</v>
      </c>
      <c r="D92" s="127">
        <f>3!H89</f>
        <v>1.42304536</v>
      </c>
      <c r="E92" s="493">
        <f>3!I89</f>
        <v>1.42304536</v>
      </c>
      <c r="F92" s="404"/>
      <c r="G92" s="404">
        <f t="shared" si="11"/>
        <v>1.42304536</v>
      </c>
      <c r="H92" s="404">
        <f>O92</f>
        <v>0.63</v>
      </c>
      <c r="I92" s="404"/>
      <c r="J92" s="404"/>
      <c r="K92" s="404"/>
      <c r="L92" s="404"/>
      <c r="M92" s="404"/>
      <c r="N92" s="493">
        <f t="shared" si="13"/>
        <v>1.42304536</v>
      </c>
      <c r="O92" s="404">
        <v>0.63</v>
      </c>
      <c r="P92" s="404"/>
      <c r="Q92" s="404"/>
      <c r="R92" s="404"/>
      <c r="S92" s="404"/>
      <c r="T92" s="404"/>
      <c r="U92" s="404">
        <f t="shared" si="14"/>
        <v>1.42304536</v>
      </c>
      <c r="V92" s="404">
        <f>AC92</f>
        <v>0.63</v>
      </c>
      <c r="W92" s="404"/>
      <c r="X92" s="404"/>
      <c r="Y92" s="404"/>
      <c r="Z92" s="404"/>
      <c r="AA92" s="404"/>
      <c r="AB92" s="404">
        <f t="shared" si="16"/>
        <v>1.42304536</v>
      </c>
      <c r="AC92" s="404">
        <f>O92</f>
        <v>0.63</v>
      </c>
      <c r="AD92" s="404"/>
      <c r="AE92" s="404"/>
      <c r="AF92" s="404"/>
      <c r="AG92" s="404"/>
      <c r="AH92" s="404"/>
      <c r="AI92" s="404">
        <f t="shared" si="18"/>
        <v>1.42304536</v>
      </c>
      <c r="AJ92" s="404">
        <f>H92</f>
        <v>0.63</v>
      </c>
      <c r="AK92" s="404"/>
      <c r="AL92" s="404"/>
      <c r="AM92" s="404"/>
      <c r="AN92" s="404"/>
      <c r="AO92" s="404"/>
      <c r="AP92" s="495">
        <f t="shared" si="20"/>
        <v>1.42304536</v>
      </c>
      <c r="AQ92" s="404">
        <f>O92</f>
        <v>0.63</v>
      </c>
      <c r="AR92" s="404"/>
      <c r="AS92" s="495"/>
      <c r="AT92" s="404"/>
      <c r="AU92" s="404"/>
      <c r="AV92" s="206" t="s">
        <v>247</v>
      </c>
    </row>
    <row r="93" spans="1:48" s="2" customFormat="1" ht="9" customHeight="1" thickBot="1">
      <c r="A93" s="241"/>
      <c r="B93" s="254"/>
      <c r="C93" s="242"/>
      <c r="D93" s="243"/>
      <c r="E93" s="494"/>
      <c r="F93" s="243"/>
      <c r="G93" s="243"/>
      <c r="H93" s="243"/>
      <c r="I93" s="243"/>
      <c r="J93" s="243"/>
      <c r="K93" s="243"/>
      <c r="L93" s="243"/>
      <c r="M93" s="243"/>
      <c r="N93" s="494"/>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15"/>
    </row>
    <row r="94" spans="1:48" s="2" customFormat="1" ht="15.75">
      <c r="A94" s="233"/>
      <c r="B94" s="234"/>
      <c r="C94" s="234"/>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25"/>
    </row>
    <row r="95" spans="1:48" s="2" customFormat="1" ht="15.75">
      <c r="A95" s="233"/>
      <c r="B95" s="234"/>
      <c r="C95" s="234"/>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25"/>
    </row>
    <row r="96" spans="1:48" s="2" customFormat="1" ht="15.75">
      <c r="A96" s="233"/>
      <c r="B96" s="234"/>
      <c r="C96" s="234"/>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25"/>
    </row>
    <row r="97" spans="1:48" s="2" customFormat="1" ht="15.75">
      <c r="A97" s="233"/>
      <c r="B97" s="234"/>
      <c r="C97" s="234"/>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25"/>
    </row>
    <row r="98" spans="1:48" s="2" customFormat="1" ht="15.75">
      <c r="A98" s="233"/>
      <c r="B98" s="234"/>
      <c r="C98" s="234"/>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25"/>
    </row>
    <row r="99" spans="1:48" s="2" customFormat="1" ht="15.75">
      <c r="A99" s="233"/>
      <c r="B99" s="234"/>
      <c r="C99" s="234"/>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235"/>
      <c r="AV99" s="225"/>
    </row>
    <row r="100" spans="1:48" s="2" customFormat="1" ht="15.75">
      <c r="A100" s="233"/>
      <c r="B100" s="234"/>
      <c r="C100" s="234"/>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25"/>
    </row>
    <row r="101" spans="1:48" s="2" customFormat="1" ht="15.75">
      <c r="A101" s="233"/>
      <c r="B101" s="234"/>
      <c r="C101" s="234"/>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25"/>
    </row>
    <row r="102" spans="1:48" s="2" customFormat="1" ht="15.75">
      <c r="A102" s="233"/>
      <c r="B102" s="603" t="s">
        <v>605</v>
      </c>
      <c r="C102" s="603"/>
      <c r="D102" s="603"/>
      <c r="E102" s="603"/>
      <c r="F102" s="603"/>
      <c r="G102" s="603"/>
      <c r="H102" s="603"/>
      <c r="I102" s="603"/>
      <c r="J102" s="603"/>
      <c r="K102" s="603"/>
      <c r="L102" s="603"/>
      <c r="M102" s="603"/>
      <c r="N102" s="603"/>
      <c r="O102" s="603"/>
      <c r="P102" s="603"/>
      <c r="Q102" s="603"/>
      <c r="R102" s="603"/>
      <c r="S102" s="603"/>
      <c r="T102" s="603"/>
      <c r="U102" s="603"/>
      <c r="V102" s="603"/>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25"/>
    </row>
  </sheetData>
  <sheetProtection/>
  <mergeCells count="34">
    <mergeCell ref="A11:AG11"/>
    <mergeCell ref="A16:AG16"/>
    <mergeCell ref="A17:AG17"/>
    <mergeCell ref="A18:AG18"/>
    <mergeCell ref="A12:AG12"/>
    <mergeCell ref="A13:AG13"/>
    <mergeCell ref="A14:AG14"/>
    <mergeCell ref="A15:AG15"/>
    <mergeCell ref="D20:E22"/>
    <mergeCell ref="AO22:AU22"/>
    <mergeCell ref="F22:L22"/>
    <mergeCell ref="F20:S21"/>
    <mergeCell ref="M22:S22"/>
    <mergeCell ref="AH21:AU21"/>
    <mergeCell ref="E23:E24"/>
    <mergeCell ref="AV20:AV24"/>
    <mergeCell ref="T22:Z22"/>
    <mergeCell ref="AA22:AG22"/>
    <mergeCell ref="T21:AG21"/>
    <mergeCell ref="T20:AG20"/>
    <mergeCell ref="AH20:AU20"/>
    <mergeCell ref="U23:Z23"/>
    <mergeCell ref="AB23:AG23"/>
    <mergeCell ref="N23:S23"/>
    <mergeCell ref="B102:V102"/>
    <mergeCell ref="A19:AT19"/>
    <mergeCell ref="A20:A24"/>
    <mergeCell ref="B20:B24"/>
    <mergeCell ref="C20:C24"/>
    <mergeCell ref="AH22:AN22"/>
    <mergeCell ref="AI23:AN23"/>
    <mergeCell ref="AP23:AU23"/>
    <mergeCell ref="G23:L23"/>
    <mergeCell ref="D23:D24"/>
  </mergeCells>
  <printOptions/>
  <pageMargins left="0.3937007874015748" right="0.1968503937007874" top="0.5905511811023623" bottom="0.5905511811023623" header="0.11811023622047245" footer="0.11811023622047245"/>
  <pageSetup fitToWidth="2" horizontalDpi="600" verticalDpi="600" orientation="portrait" paperSize="8" scale="56"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sheetPr>
    <tabColor rgb="FF92D050"/>
  </sheetPr>
  <dimension ref="A1:BO112"/>
  <sheetViews>
    <sheetView view="pageBreakPreview" zoomScale="85" zoomScaleSheetLayoutView="85" zoomScalePageLayoutView="0" workbookViewId="0" topLeftCell="A25">
      <selection activeCell="B83" sqref="B83"/>
    </sheetView>
  </sheetViews>
  <sheetFormatPr defaultColWidth="9.00390625" defaultRowHeight="15.75"/>
  <cols>
    <col min="1" max="1" width="7.125" style="1" customWidth="1"/>
    <col min="2" max="2" width="46.25390625" style="1" customWidth="1"/>
    <col min="3" max="3" width="14.375" style="1" customWidth="1"/>
    <col min="4" max="4" width="11.375" style="1" customWidth="1"/>
    <col min="5" max="5" width="6.625" style="1" customWidth="1"/>
    <col min="6" max="6" width="6.00390625" style="1" customWidth="1"/>
    <col min="7" max="8" width="6.625" style="1" customWidth="1"/>
    <col min="9" max="9" width="6.25390625" style="1" customWidth="1"/>
    <col min="10" max="10" width="6.625" style="1" customWidth="1"/>
    <col min="11" max="11" width="11.50390625" style="1" customWidth="1"/>
    <col min="12" max="12" width="7.00390625" style="1" customWidth="1"/>
    <col min="13" max="13" width="6.75390625" style="1" customWidth="1"/>
    <col min="14" max="15" width="6.25390625" style="1" customWidth="1"/>
    <col min="16" max="16" width="6.50390625" style="1" customWidth="1"/>
    <col min="17" max="17" width="6.25390625" style="1" customWidth="1"/>
    <col min="18" max="18" width="11.625" style="1" customWidth="1"/>
    <col min="19" max="19" width="6.875" style="1" customWidth="1"/>
    <col min="20" max="20" width="6.50390625" style="1" customWidth="1"/>
    <col min="21" max="21" width="6.00390625" style="1" customWidth="1"/>
    <col min="22" max="22" width="6.75390625" style="1" customWidth="1"/>
    <col min="23" max="24" width="6.625" style="1" customWidth="1"/>
    <col min="25" max="25" width="12.00390625" style="1" customWidth="1"/>
    <col min="26" max="27" width="6.75390625" style="1" customWidth="1"/>
    <col min="28" max="30" width="6.50390625" style="1" customWidth="1"/>
    <col min="31" max="31" width="6.75390625" style="1" customWidth="1"/>
    <col min="32" max="32" width="12.00390625" style="1" customWidth="1"/>
    <col min="33" max="33" width="7.50390625" style="1" customWidth="1"/>
    <col min="34" max="34" width="6.625" style="1" customWidth="1"/>
    <col min="35" max="35" width="6.25390625" style="1" customWidth="1"/>
    <col min="36" max="36" width="6.625" style="1" customWidth="1"/>
    <col min="37" max="37" width="6.25390625" style="1" customWidth="1"/>
    <col min="38" max="38" width="6.125" style="1" customWidth="1"/>
    <col min="39" max="39" width="3.50390625" style="1" customWidth="1"/>
    <col min="40" max="40" width="5.75390625" style="1" customWidth="1"/>
    <col min="41" max="41" width="16.125" style="1" customWidth="1"/>
    <col min="42" max="42" width="21.253906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390625" style="1" customWidth="1"/>
    <col min="50" max="50" width="3.875" style="1" customWidth="1"/>
    <col min="51" max="51" width="4.50390625" style="1" customWidth="1"/>
    <col min="52" max="52" width="5.00390625" style="1" customWidth="1"/>
    <col min="53" max="53" width="5.50390625" style="1" customWidth="1"/>
    <col min="54" max="54" width="5.75390625" style="1" customWidth="1"/>
    <col min="55" max="55" width="5.50390625" style="1" customWidth="1"/>
    <col min="56" max="57" width="5.00390625" style="1" customWidth="1"/>
    <col min="58" max="58" width="12.875" style="1" customWidth="1"/>
    <col min="59" max="68" width="5.00390625" style="1" customWidth="1"/>
    <col min="69" max="16384" width="9.00390625" style="1" customWidth="1"/>
  </cols>
  <sheetData>
    <row r="1" spans="15:38" ht="18.75">
      <c r="O1" s="2"/>
      <c r="P1" s="2"/>
      <c r="Q1" s="2"/>
      <c r="R1" s="2"/>
      <c r="S1" s="2"/>
      <c r="T1" s="2"/>
      <c r="U1" s="2"/>
      <c r="V1" s="2"/>
      <c r="W1" s="2"/>
      <c r="X1" s="2"/>
      <c r="Y1" s="2"/>
      <c r="Z1" s="2"/>
      <c r="AA1" s="2"/>
      <c r="AB1" s="2"/>
      <c r="AC1" s="2"/>
      <c r="AL1" s="26" t="s">
        <v>142</v>
      </c>
    </row>
    <row r="2" spans="15:38" ht="18.75">
      <c r="O2" s="2"/>
      <c r="P2" s="2"/>
      <c r="Q2" s="2"/>
      <c r="R2" s="2"/>
      <c r="S2" s="2"/>
      <c r="T2" s="2"/>
      <c r="U2" s="2"/>
      <c r="V2" s="2"/>
      <c r="W2" s="2"/>
      <c r="X2" s="2"/>
      <c r="Y2" s="2"/>
      <c r="Z2" s="2"/>
      <c r="AA2" s="2"/>
      <c r="AB2" s="2"/>
      <c r="AC2" s="2"/>
      <c r="AL2" s="16" t="s">
        <v>423</v>
      </c>
    </row>
    <row r="3" spans="15:38" ht="18.75">
      <c r="O3" s="2"/>
      <c r="P3" s="2"/>
      <c r="Q3" s="2"/>
      <c r="R3" s="2"/>
      <c r="S3" s="2"/>
      <c r="T3" s="2"/>
      <c r="U3" s="2"/>
      <c r="V3" s="2"/>
      <c r="W3" s="2"/>
      <c r="X3" s="2"/>
      <c r="Y3" s="2"/>
      <c r="Z3" s="2"/>
      <c r="AA3" s="2"/>
      <c r="AB3" s="2"/>
      <c r="AC3" s="2"/>
      <c r="AL3" s="16" t="s">
        <v>589</v>
      </c>
    </row>
    <row r="4" spans="15:38" ht="18.75">
      <c r="O4" s="2"/>
      <c r="P4" s="2"/>
      <c r="Q4" s="2"/>
      <c r="R4" s="2"/>
      <c r="S4" s="2"/>
      <c r="T4" s="2"/>
      <c r="U4" s="2"/>
      <c r="V4" s="2"/>
      <c r="W4" s="2"/>
      <c r="X4" s="2"/>
      <c r="Y4" s="2"/>
      <c r="Z4" s="2"/>
      <c r="AA4" s="2"/>
      <c r="AB4" s="2"/>
      <c r="AC4" s="2"/>
      <c r="AL4" s="16"/>
    </row>
    <row r="5" spans="15:38" ht="15.75">
      <c r="O5" s="2"/>
      <c r="P5" s="2"/>
      <c r="Q5" s="2"/>
      <c r="R5" s="2"/>
      <c r="S5" s="2"/>
      <c r="T5" s="2"/>
      <c r="U5" s="2"/>
      <c r="V5" s="2"/>
      <c r="W5" s="2"/>
      <c r="X5" s="2"/>
      <c r="Y5" s="2"/>
      <c r="Z5" s="2"/>
      <c r="AA5" s="2"/>
      <c r="AB5" s="2"/>
      <c r="AC5" s="2"/>
      <c r="AL5" s="251" t="s">
        <v>591</v>
      </c>
    </row>
    <row r="6" spans="15:38" ht="15.75">
      <c r="O6" s="2"/>
      <c r="P6" s="2"/>
      <c r="Q6" s="2"/>
      <c r="R6" s="2"/>
      <c r="S6" s="2"/>
      <c r="T6" s="2"/>
      <c r="U6" s="2"/>
      <c r="V6" s="2"/>
      <c r="W6" s="2"/>
      <c r="X6" s="2"/>
      <c r="Y6" s="2"/>
      <c r="Z6" s="2"/>
      <c r="AA6" s="2"/>
      <c r="AB6" s="2"/>
      <c r="AC6" s="2"/>
      <c r="AL6" s="251" t="s">
        <v>592</v>
      </c>
    </row>
    <row r="7" spans="15:38" ht="15.75">
      <c r="O7" s="2"/>
      <c r="P7" s="2"/>
      <c r="Q7" s="2"/>
      <c r="R7" s="2"/>
      <c r="S7" s="2"/>
      <c r="T7" s="2"/>
      <c r="U7" s="2"/>
      <c r="V7" s="2"/>
      <c r="W7" s="2"/>
      <c r="X7" s="2"/>
      <c r="Y7" s="2"/>
      <c r="Z7" s="2"/>
      <c r="AA7" s="2"/>
      <c r="AB7" s="2"/>
      <c r="AC7" s="2"/>
      <c r="AL7" s="251"/>
    </row>
    <row r="8" spans="15:38" ht="15.75">
      <c r="O8" s="2"/>
      <c r="P8" s="2"/>
      <c r="Q8" s="2"/>
      <c r="R8" s="2"/>
      <c r="S8" s="2"/>
      <c r="T8" s="2"/>
      <c r="U8" s="2"/>
      <c r="V8" s="2"/>
      <c r="W8" s="2"/>
      <c r="X8" s="2"/>
      <c r="Y8" s="2"/>
      <c r="Z8" s="2"/>
      <c r="AA8" s="2"/>
      <c r="AB8" s="2"/>
      <c r="AC8" s="2"/>
      <c r="AL8" s="251" t="s">
        <v>726</v>
      </c>
    </row>
    <row r="9" spans="15:38" ht="15.75">
      <c r="O9" s="2"/>
      <c r="P9" s="2"/>
      <c r="Q9" s="2"/>
      <c r="R9" s="2"/>
      <c r="S9" s="2"/>
      <c r="T9" s="2"/>
      <c r="U9" s="2"/>
      <c r="V9" s="2"/>
      <c r="W9" s="2"/>
      <c r="X9" s="2"/>
      <c r="Y9" s="2"/>
      <c r="Z9" s="2"/>
      <c r="AA9" s="2"/>
      <c r="AB9" s="2"/>
      <c r="AC9" s="2"/>
      <c r="AL9" s="251"/>
    </row>
    <row r="10" spans="15:38" ht="15.75">
      <c r="O10" s="2"/>
      <c r="P10" s="2"/>
      <c r="Q10" s="2"/>
      <c r="R10" s="2"/>
      <c r="S10" s="2"/>
      <c r="T10" s="2"/>
      <c r="U10" s="2"/>
      <c r="V10" s="2"/>
      <c r="W10" s="2"/>
      <c r="X10" s="2"/>
      <c r="Y10" s="2"/>
      <c r="Z10" s="2"/>
      <c r="AA10" s="2"/>
      <c r="AB10" s="2"/>
      <c r="AC10" s="2"/>
      <c r="AL10" s="251" t="s">
        <v>724</v>
      </c>
    </row>
    <row r="11" spans="1:38" ht="18.75">
      <c r="A11" s="636" t="s">
        <v>196</v>
      </c>
      <c r="B11" s="636"/>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row>
    <row r="12" spans="1:38" ht="18.75">
      <c r="A12" s="555" t="str">
        <f>1!A12:U12</f>
        <v> за 2017 год</v>
      </c>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row>
    <row r="13" spans="1:67" ht="18.75">
      <c r="A13" s="532" t="str">
        <f>1!A14:U14</f>
        <v>Инвестиционная программа Филиала "Железноводские электрические сети" ООО "КЭУК".</v>
      </c>
      <c r="B13" s="532"/>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row>
    <row r="14" spans="1:67" ht="15.75">
      <c r="A14" s="542" t="s">
        <v>109</v>
      </c>
      <c r="B14" s="542"/>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row>
    <row r="15" spans="1:67" ht="15.75">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row>
    <row r="16" spans="1:58" ht="15.75">
      <c r="A16" s="561" t="str">
        <f>1!A17:U17</f>
        <v>Год раскрытия информации: 2018 год</v>
      </c>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43"/>
      <c r="AN16" s="43"/>
      <c r="AO16" s="43"/>
      <c r="AP16" s="43"/>
      <c r="AQ16" s="43"/>
      <c r="AR16" s="43"/>
      <c r="AS16" s="43"/>
      <c r="AT16" s="43"/>
      <c r="AU16" s="43"/>
      <c r="AV16" s="43"/>
      <c r="AW16" s="43"/>
      <c r="AX16" s="43"/>
      <c r="AY16" s="43"/>
      <c r="AZ16" s="43"/>
      <c r="BA16" s="43"/>
      <c r="BB16" s="43"/>
      <c r="BC16" s="43"/>
      <c r="BD16" s="43"/>
      <c r="BE16" s="43"/>
      <c r="BF16" s="43"/>
    </row>
    <row r="17" spans="1:50" ht="18.7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81"/>
      <c r="AN17" s="81"/>
      <c r="AO17" s="81"/>
      <c r="AP17" s="81"/>
      <c r="AQ17" s="81"/>
      <c r="AR17" s="81"/>
      <c r="AS17" s="81"/>
      <c r="AT17" s="81"/>
      <c r="AU17" s="81"/>
      <c r="AV17" s="81"/>
      <c r="AW17" s="81"/>
      <c r="AX17" s="81"/>
    </row>
    <row r="18" spans="1:58" ht="16.5" thickBot="1">
      <c r="A18" s="604"/>
      <c r="B18" s="604"/>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14"/>
      <c r="AN18" s="14"/>
      <c r="AO18" s="14"/>
      <c r="AP18" s="14"/>
      <c r="AQ18" s="42"/>
      <c r="AR18" s="42"/>
      <c r="AS18" s="42"/>
      <c r="AT18" s="42"/>
      <c r="AU18" s="42"/>
      <c r="AV18" s="42"/>
      <c r="AW18" s="42"/>
      <c r="AX18" s="42"/>
      <c r="AY18" s="42"/>
      <c r="AZ18" s="42"/>
      <c r="BA18" s="42"/>
      <c r="BB18" s="42"/>
      <c r="BC18" s="42"/>
      <c r="BD18" s="42"/>
      <c r="BE18" s="42"/>
      <c r="BF18" s="42"/>
    </row>
    <row r="19" spans="1:42" ht="19.5" customHeight="1">
      <c r="A19" s="605" t="s">
        <v>24</v>
      </c>
      <c r="B19" s="622" t="s">
        <v>452</v>
      </c>
      <c r="C19" s="622" t="s">
        <v>608</v>
      </c>
      <c r="D19" s="621" t="s">
        <v>629</v>
      </c>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37"/>
      <c r="AM19" s="23"/>
      <c r="AN19" s="23"/>
      <c r="AO19" s="23"/>
      <c r="AP19" s="23"/>
    </row>
    <row r="20" spans="1:42" ht="43.5" customHeight="1">
      <c r="A20" s="606"/>
      <c r="B20" s="613"/>
      <c r="C20" s="613"/>
      <c r="D20" s="612" t="s">
        <v>429</v>
      </c>
      <c r="E20" s="612"/>
      <c r="F20" s="612"/>
      <c r="G20" s="612"/>
      <c r="H20" s="612"/>
      <c r="I20" s="612"/>
      <c r="J20" s="612"/>
      <c r="K20" s="612" t="s">
        <v>430</v>
      </c>
      <c r="L20" s="612"/>
      <c r="M20" s="612"/>
      <c r="N20" s="612"/>
      <c r="O20" s="612"/>
      <c r="P20" s="612"/>
      <c r="Q20" s="612"/>
      <c r="R20" s="612" t="s">
        <v>431</v>
      </c>
      <c r="S20" s="612"/>
      <c r="T20" s="612"/>
      <c r="U20" s="612"/>
      <c r="V20" s="612"/>
      <c r="W20" s="612"/>
      <c r="X20" s="612"/>
      <c r="Y20" s="612" t="s">
        <v>432</v>
      </c>
      <c r="Z20" s="612"/>
      <c r="AA20" s="612"/>
      <c r="AB20" s="612"/>
      <c r="AC20" s="612"/>
      <c r="AD20" s="612"/>
      <c r="AE20" s="612"/>
      <c r="AF20" s="613" t="s">
        <v>630</v>
      </c>
      <c r="AG20" s="613"/>
      <c r="AH20" s="613"/>
      <c r="AI20" s="613"/>
      <c r="AJ20" s="613"/>
      <c r="AK20" s="613"/>
      <c r="AL20" s="635"/>
      <c r="AM20" s="23"/>
      <c r="AN20" s="23"/>
      <c r="AO20" s="23"/>
      <c r="AP20" s="23"/>
    </row>
    <row r="21" spans="1:38" ht="43.5" customHeight="1">
      <c r="A21" s="606"/>
      <c r="B21" s="613"/>
      <c r="C21" s="613"/>
      <c r="D21" s="93" t="s">
        <v>492</v>
      </c>
      <c r="E21" s="612" t="s">
        <v>491</v>
      </c>
      <c r="F21" s="612"/>
      <c r="G21" s="612"/>
      <c r="H21" s="612"/>
      <c r="I21" s="612"/>
      <c r="J21" s="612"/>
      <c r="K21" s="93" t="s">
        <v>492</v>
      </c>
      <c r="L21" s="613" t="s">
        <v>491</v>
      </c>
      <c r="M21" s="613"/>
      <c r="N21" s="613"/>
      <c r="O21" s="613"/>
      <c r="P21" s="613"/>
      <c r="Q21" s="613"/>
      <c r="R21" s="93" t="s">
        <v>492</v>
      </c>
      <c r="S21" s="613" t="s">
        <v>491</v>
      </c>
      <c r="T21" s="613"/>
      <c r="U21" s="613"/>
      <c r="V21" s="613"/>
      <c r="W21" s="613"/>
      <c r="X21" s="613"/>
      <c r="Y21" s="93" t="s">
        <v>492</v>
      </c>
      <c r="Z21" s="613" t="s">
        <v>491</v>
      </c>
      <c r="AA21" s="613"/>
      <c r="AB21" s="613"/>
      <c r="AC21" s="613"/>
      <c r="AD21" s="613"/>
      <c r="AE21" s="613"/>
      <c r="AF21" s="93" t="s">
        <v>492</v>
      </c>
      <c r="AG21" s="613" t="s">
        <v>491</v>
      </c>
      <c r="AH21" s="613"/>
      <c r="AI21" s="613"/>
      <c r="AJ21" s="613"/>
      <c r="AK21" s="613"/>
      <c r="AL21" s="635"/>
    </row>
    <row r="22" spans="1:38" ht="87.75" customHeight="1" thickBot="1">
      <c r="A22" s="607"/>
      <c r="B22" s="614"/>
      <c r="C22" s="614"/>
      <c r="D22" s="176" t="s">
        <v>445</v>
      </c>
      <c r="E22" s="176" t="s">
        <v>445</v>
      </c>
      <c r="F22" s="244" t="s">
        <v>427</v>
      </c>
      <c r="G22" s="244" t="s">
        <v>428</v>
      </c>
      <c r="H22" s="244" t="s">
        <v>93</v>
      </c>
      <c r="I22" s="244" t="s">
        <v>424</v>
      </c>
      <c r="J22" s="244" t="s">
        <v>6</v>
      </c>
      <c r="K22" s="176" t="s">
        <v>445</v>
      </c>
      <c r="L22" s="176" t="s">
        <v>445</v>
      </c>
      <c r="M22" s="244" t="s">
        <v>427</v>
      </c>
      <c r="N22" s="244" t="s">
        <v>428</v>
      </c>
      <c r="O22" s="244" t="s">
        <v>93</v>
      </c>
      <c r="P22" s="244" t="s">
        <v>424</v>
      </c>
      <c r="Q22" s="244" t="s">
        <v>6</v>
      </c>
      <c r="R22" s="176" t="s">
        <v>445</v>
      </c>
      <c r="S22" s="176" t="s">
        <v>445</v>
      </c>
      <c r="T22" s="244" t="s">
        <v>427</v>
      </c>
      <c r="U22" s="244" t="s">
        <v>428</v>
      </c>
      <c r="V22" s="244" t="s">
        <v>93</v>
      </c>
      <c r="W22" s="244" t="s">
        <v>424</v>
      </c>
      <c r="X22" s="244" t="s">
        <v>6</v>
      </c>
      <c r="Y22" s="176" t="s">
        <v>445</v>
      </c>
      <c r="Z22" s="176" t="s">
        <v>445</v>
      </c>
      <c r="AA22" s="244" t="s">
        <v>427</v>
      </c>
      <c r="AB22" s="244" t="s">
        <v>428</v>
      </c>
      <c r="AC22" s="244" t="s">
        <v>93</v>
      </c>
      <c r="AD22" s="244" t="s">
        <v>424</v>
      </c>
      <c r="AE22" s="244" t="s">
        <v>6</v>
      </c>
      <c r="AF22" s="176" t="s">
        <v>445</v>
      </c>
      <c r="AG22" s="176" t="s">
        <v>445</v>
      </c>
      <c r="AH22" s="244" t="s">
        <v>427</v>
      </c>
      <c r="AI22" s="244" t="s">
        <v>428</v>
      </c>
      <c r="AJ22" s="244" t="s">
        <v>93</v>
      </c>
      <c r="AK22" s="244" t="s">
        <v>424</v>
      </c>
      <c r="AL22" s="256" t="s">
        <v>6</v>
      </c>
    </row>
    <row r="23" spans="1:38" ht="16.5" thickBot="1">
      <c r="A23" s="246">
        <v>1</v>
      </c>
      <c r="B23" s="247">
        <v>2</v>
      </c>
      <c r="C23" s="247">
        <v>3</v>
      </c>
      <c r="D23" s="248" t="s">
        <v>540</v>
      </c>
      <c r="E23" s="248" t="s">
        <v>541</v>
      </c>
      <c r="F23" s="248" t="s">
        <v>542</v>
      </c>
      <c r="G23" s="248" t="s">
        <v>543</v>
      </c>
      <c r="H23" s="248" t="s">
        <v>544</v>
      </c>
      <c r="I23" s="248" t="s">
        <v>545</v>
      </c>
      <c r="J23" s="248" t="s">
        <v>32</v>
      </c>
      <c r="K23" s="248" t="s">
        <v>33</v>
      </c>
      <c r="L23" s="248" t="s">
        <v>34</v>
      </c>
      <c r="M23" s="248" t="s">
        <v>35</v>
      </c>
      <c r="N23" s="248" t="s">
        <v>36</v>
      </c>
      <c r="O23" s="248" t="s">
        <v>37</v>
      </c>
      <c r="P23" s="248" t="s">
        <v>38</v>
      </c>
      <c r="Q23" s="248" t="s">
        <v>39</v>
      </c>
      <c r="R23" s="248" t="s">
        <v>42</v>
      </c>
      <c r="S23" s="248" t="s">
        <v>43</v>
      </c>
      <c r="T23" s="248" t="s">
        <v>44</v>
      </c>
      <c r="U23" s="248" t="s">
        <v>45</v>
      </c>
      <c r="V23" s="248" t="s">
        <v>46</v>
      </c>
      <c r="W23" s="248" t="s">
        <v>47</v>
      </c>
      <c r="X23" s="248" t="s">
        <v>133</v>
      </c>
      <c r="Y23" s="248" t="s">
        <v>48</v>
      </c>
      <c r="Z23" s="248" t="s">
        <v>49</v>
      </c>
      <c r="AA23" s="248" t="s">
        <v>50</v>
      </c>
      <c r="AB23" s="248" t="s">
        <v>51</v>
      </c>
      <c r="AC23" s="248" t="s">
        <v>52</v>
      </c>
      <c r="AD23" s="248" t="s">
        <v>53</v>
      </c>
      <c r="AE23" s="248" t="s">
        <v>134</v>
      </c>
      <c r="AF23" s="248" t="s">
        <v>533</v>
      </c>
      <c r="AG23" s="248" t="s">
        <v>536</v>
      </c>
      <c r="AH23" s="248" t="s">
        <v>548</v>
      </c>
      <c r="AI23" s="248" t="s">
        <v>551</v>
      </c>
      <c r="AJ23" s="248" t="s">
        <v>554</v>
      </c>
      <c r="AK23" s="248" t="s">
        <v>555</v>
      </c>
      <c r="AL23" s="249" t="s">
        <v>556</v>
      </c>
    </row>
    <row r="24" spans="1:38" s="2" customFormat="1" ht="31.5">
      <c r="A24" s="323"/>
      <c r="B24" s="194" t="s">
        <v>475</v>
      </c>
      <c r="C24" s="324" t="s">
        <v>261</v>
      </c>
      <c r="D24" s="218">
        <f>SUM(D25:D30)</f>
        <v>0</v>
      </c>
      <c r="E24" s="218">
        <f aca="true" t="shared" si="0" ref="E24:AL24">SUM(E25:E30)</f>
        <v>0.47768923</v>
      </c>
      <c r="F24" s="218">
        <f t="shared" si="0"/>
        <v>0</v>
      </c>
      <c r="G24" s="218">
        <f t="shared" si="0"/>
        <v>0</v>
      </c>
      <c r="H24" s="218">
        <f t="shared" si="0"/>
        <v>0.521</v>
      </c>
      <c r="I24" s="218">
        <f t="shared" si="0"/>
        <v>0</v>
      </c>
      <c r="J24" s="218">
        <f t="shared" si="0"/>
        <v>0</v>
      </c>
      <c r="K24" s="218">
        <f t="shared" si="0"/>
        <v>0</v>
      </c>
      <c r="L24" s="218">
        <f>SUM(L25:L30)</f>
        <v>3.84606487</v>
      </c>
      <c r="M24" s="218">
        <f t="shared" si="0"/>
        <v>0.25</v>
      </c>
      <c r="N24" s="218">
        <f t="shared" si="0"/>
        <v>0</v>
      </c>
      <c r="O24" s="218">
        <f t="shared" si="0"/>
        <v>1.934</v>
      </c>
      <c r="P24" s="218">
        <f t="shared" si="0"/>
        <v>0</v>
      </c>
      <c r="Q24" s="218">
        <f t="shared" si="0"/>
        <v>0</v>
      </c>
      <c r="R24" s="218">
        <f t="shared" si="0"/>
        <v>0</v>
      </c>
      <c r="S24" s="218">
        <f t="shared" si="0"/>
        <v>6.25337147</v>
      </c>
      <c r="T24" s="218">
        <f t="shared" si="0"/>
        <v>0.25</v>
      </c>
      <c r="U24" s="218">
        <f t="shared" si="0"/>
        <v>0</v>
      </c>
      <c r="V24" s="218">
        <f t="shared" si="0"/>
        <v>3.4309999999999996</v>
      </c>
      <c r="W24" s="218">
        <f t="shared" si="0"/>
        <v>0</v>
      </c>
      <c r="X24" s="218">
        <f t="shared" si="0"/>
        <v>0</v>
      </c>
      <c r="Y24" s="218">
        <f t="shared" si="0"/>
        <v>0</v>
      </c>
      <c r="Z24" s="218">
        <f t="shared" si="0"/>
        <v>21.64311695525424</v>
      </c>
      <c r="AA24" s="218">
        <f t="shared" si="0"/>
        <v>0.88</v>
      </c>
      <c r="AB24" s="218">
        <f t="shared" si="0"/>
        <v>0</v>
      </c>
      <c r="AC24" s="218">
        <f t="shared" si="0"/>
        <v>13.061</v>
      </c>
      <c r="AD24" s="218">
        <f t="shared" si="0"/>
        <v>0</v>
      </c>
      <c r="AE24" s="218">
        <f t="shared" si="0"/>
        <v>0</v>
      </c>
      <c r="AF24" s="218">
        <f t="shared" si="0"/>
        <v>0</v>
      </c>
      <c r="AG24" s="218">
        <f>SUM(AG25:AG30)</f>
        <v>32.220242525254235</v>
      </c>
      <c r="AH24" s="218">
        <f t="shared" si="0"/>
        <v>1.38</v>
      </c>
      <c r="AI24" s="218">
        <f t="shared" si="0"/>
        <v>0</v>
      </c>
      <c r="AJ24" s="218">
        <f t="shared" si="0"/>
        <v>18.947000000000003</v>
      </c>
      <c r="AK24" s="218">
        <f t="shared" si="0"/>
        <v>0</v>
      </c>
      <c r="AL24" s="232">
        <f t="shared" si="0"/>
        <v>0</v>
      </c>
    </row>
    <row r="25" spans="1:38" s="2" customFormat="1" ht="15.75">
      <c r="A25" s="207" t="s">
        <v>476</v>
      </c>
      <c r="B25" s="159" t="s">
        <v>477</v>
      </c>
      <c r="C25" s="173" t="s">
        <v>261</v>
      </c>
      <c r="D25" s="141">
        <f>D53</f>
        <v>0</v>
      </c>
      <c r="E25" s="141">
        <f>E53</f>
        <v>0.47768923</v>
      </c>
      <c r="F25" s="141">
        <f aca="true" t="shared" si="1" ref="F25:AL25">F53</f>
        <v>0</v>
      </c>
      <c r="G25" s="141">
        <f t="shared" si="1"/>
        <v>0</v>
      </c>
      <c r="H25" s="141">
        <f t="shared" si="1"/>
        <v>0.521</v>
      </c>
      <c r="I25" s="141">
        <f t="shared" si="1"/>
        <v>0</v>
      </c>
      <c r="J25" s="141">
        <f t="shared" si="1"/>
        <v>0</v>
      </c>
      <c r="K25" s="141">
        <f t="shared" si="1"/>
        <v>0</v>
      </c>
      <c r="L25" s="141">
        <f t="shared" si="1"/>
        <v>3.19216116</v>
      </c>
      <c r="M25" s="141">
        <f t="shared" si="1"/>
        <v>0.25</v>
      </c>
      <c r="N25" s="141">
        <f t="shared" si="1"/>
        <v>0</v>
      </c>
      <c r="O25" s="141">
        <f t="shared" si="1"/>
        <v>1.15</v>
      </c>
      <c r="P25" s="141">
        <f t="shared" si="1"/>
        <v>0</v>
      </c>
      <c r="Q25" s="141">
        <f t="shared" si="1"/>
        <v>0</v>
      </c>
      <c r="R25" s="141">
        <f t="shared" si="1"/>
        <v>0</v>
      </c>
      <c r="S25" s="141">
        <f t="shared" si="1"/>
        <v>1.70807899</v>
      </c>
      <c r="T25" s="141">
        <f t="shared" si="1"/>
        <v>0.25</v>
      </c>
      <c r="U25" s="141">
        <f t="shared" si="1"/>
        <v>0</v>
      </c>
      <c r="V25" s="141">
        <f t="shared" si="1"/>
        <v>0.49</v>
      </c>
      <c r="W25" s="141">
        <f t="shared" si="1"/>
        <v>0</v>
      </c>
      <c r="X25" s="141">
        <f t="shared" si="1"/>
        <v>0</v>
      </c>
      <c r="Y25" s="141">
        <f t="shared" si="1"/>
        <v>0</v>
      </c>
      <c r="Z25" s="141">
        <f t="shared" si="1"/>
        <v>5.682700519999999</v>
      </c>
      <c r="AA25" s="141">
        <f t="shared" si="1"/>
        <v>0.88</v>
      </c>
      <c r="AB25" s="141">
        <f t="shared" si="1"/>
        <v>0</v>
      </c>
      <c r="AC25" s="141">
        <f t="shared" si="1"/>
        <v>3.4670000000000005</v>
      </c>
      <c r="AD25" s="141">
        <f t="shared" si="1"/>
        <v>0</v>
      </c>
      <c r="AE25" s="141">
        <f t="shared" si="1"/>
        <v>0</v>
      </c>
      <c r="AF25" s="141">
        <f t="shared" si="1"/>
        <v>0</v>
      </c>
      <c r="AG25" s="141">
        <f t="shared" si="1"/>
        <v>11.0606299</v>
      </c>
      <c r="AH25" s="141">
        <f t="shared" si="1"/>
        <v>1.38</v>
      </c>
      <c r="AI25" s="141">
        <f t="shared" si="1"/>
        <v>0</v>
      </c>
      <c r="AJ25" s="141">
        <f t="shared" si="1"/>
        <v>5.628</v>
      </c>
      <c r="AK25" s="141">
        <f t="shared" si="1"/>
        <v>0</v>
      </c>
      <c r="AL25" s="141">
        <f t="shared" si="1"/>
        <v>0</v>
      </c>
    </row>
    <row r="26" spans="1:38" s="2" customFormat="1" ht="31.5">
      <c r="A26" s="207" t="s">
        <v>478</v>
      </c>
      <c r="B26" s="159" t="s">
        <v>479</v>
      </c>
      <c r="C26" s="173" t="s">
        <v>261</v>
      </c>
      <c r="D26" s="141">
        <f>D31</f>
        <v>0</v>
      </c>
      <c r="E26" s="141">
        <f aca="true" t="shared" si="2" ref="E26:AL26">E31</f>
        <v>0</v>
      </c>
      <c r="F26" s="141">
        <f t="shared" si="2"/>
        <v>0</v>
      </c>
      <c r="G26" s="141">
        <f t="shared" si="2"/>
        <v>0</v>
      </c>
      <c r="H26" s="141">
        <f t="shared" si="2"/>
        <v>0</v>
      </c>
      <c r="I26" s="141">
        <f t="shared" si="2"/>
        <v>0</v>
      </c>
      <c r="J26" s="141">
        <f t="shared" si="2"/>
        <v>0</v>
      </c>
      <c r="K26" s="141">
        <f t="shared" si="2"/>
        <v>0</v>
      </c>
      <c r="L26" s="141">
        <f t="shared" si="2"/>
        <v>0.65390371</v>
      </c>
      <c r="M26" s="141">
        <f t="shared" si="2"/>
        <v>0</v>
      </c>
      <c r="N26" s="141">
        <f t="shared" si="2"/>
        <v>0</v>
      </c>
      <c r="O26" s="141">
        <f t="shared" si="2"/>
        <v>0.784</v>
      </c>
      <c r="P26" s="141">
        <f t="shared" si="2"/>
        <v>0</v>
      </c>
      <c r="Q26" s="141">
        <f t="shared" si="2"/>
        <v>0</v>
      </c>
      <c r="R26" s="141">
        <f t="shared" si="2"/>
        <v>0</v>
      </c>
      <c r="S26" s="141">
        <f t="shared" si="2"/>
        <v>3.040014</v>
      </c>
      <c r="T26" s="141">
        <f t="shared" si="2"/>
        <v>0</v>
      </c>
      <c r="U26" s="141">
        <f t="shared" si="2"/>
        <v>0</v>
      </c>
      <c r="V26" s="141">
        <f t="shared" si="2"/>
        <v>2.541</v>
      </c>
      <c r="W26" s="141">
        <f t="shared" si="2"/>
        <v>0</v>
      </c>
      <c r="X26" s="141">
        <f t="shared" si="2"/>
        <v>0</v>
      </c>
      <c r="Y26" s="141">
        <f t="shared" si="2"/>
        <v>0</v>
      </c>
      <c r="Z26" s="141">
        <f t="shared" si="2"/>
        <v>8.65933572881356</v>
      </c>
      <c r="AA26" s="141">
        <f t="shared" si="2"/>
        <v>0</v>
      </c>
      <c r="AB26" s="141">
        <f t="shared" si="2"/>
        <v>0</v>
      </c>
      <c r="AC26" s="141">
        <f t="shared" si="2"/>
        <v>7.749999999999999</v>
      </c>
      <c r="AD26" s="141">
        <f t="shared" si="2"/>
        <v>0</v>
      </c>
      <c r="AE26" s="141">
        <f t="shared" si="2"/>
        <v>0</v>
      </c>
      <c r="AF26" s="141">
        <f t="shared" si="2"/>
        <v>0</v>
      </c>
      <c r="AG26" s="141">
        <f t="shared" si="2"/>
        <v>12.353253438813558</v>
      </c>
      <c r="AH26" s="141">
        <f t="shared" si="2"/>
        <v>0</v>
      </c>
      <c r="AI26" s="141">
        <f t="shared" si="2"/>
        <v>0</v>
      </c>
      <c r="AJ26" s="141">
        <f t="shared" si="2"/>
        <v>11.075000000000001</v>
      </c>
      <c r="AK26" s="141">
        <f t="shared" si="2"/>
        <v>0</v>
      </c>
      <c r="AL26" s="228">
        <f t="shared" si="2"/>
        <v>0</v>
      </c>
    </row>
    <row r="27" spans="1:38" s="2" customFormat="1" ht="63">
      <c r="A27" s="207" t="s">
        <v>480</v>
      </c>
      <c r="B27" s="159" t="s">
        <v>481</v>
      </c>
      <c r="C27" s="173" t="s">
        <v>261</v>
      </c>
      <c r="D27" s="141">
        <v>0</v>
      </c>
      <c r="E27" s="141">
        <v>0</v>
      </c>
      <c r="F27" s="141">
        <v>0</v>
      </c>
      <c r="G27" s="141">
        <v>0</v>
      </c>
      <c r="H27" s="141">
        <v>0</v>
      </c>
      <c r="I27" s="141">
        <v>0</v>
      </c>
      <c r="J27" s="141">
        <v>0</v>
      </c>
      <c r="K27" s="141">
        <v>0</v>
      </c>
      <c r="L27" s="141">
        <v>0</v>
      </c>
      <c r="M27" s="141">
        <v>0</v>
      </c>
      <c r="N27" s="141">
        <v>0</v>
      </c>
      <c r="O27" s="141">
        <v>0</v>
      </c>
      <c r="P27" s="141">
        <v>0</v>
      </c>
      <c r="Q27" s="141">
        <v>0</v>
      </c>
      <c r="R27" s="141">
        <v>0</v>
      </c>
      <c r="S27" s="141">
        <v>0</v>
      </c>
      <c r="T27" s="141">
        <v>0</v>
      </c>
      <c r="U27" s="141">
        <v>0</v>
      </c>
      <c r="V27" s="141">
        <v>0</v>
      </c>
      <c r="W27" s="141">
        <v>0</v>
      </c>
      <c r="X27" s="141">
        <v>0</v>
      </c>
      <c r="Y27" s="141">
        <v>0</v>
      </c>
      <c r="Z27" s="141">
        <v>0</v>
      </c>
      <c r="AA27" s="141">
        <v>0</v>
      </c>
      <c r="AB27" s="141">
        <v>0</v>
      </c>
      <c r="AC27" s="141">
        <v>0</v>
      </c>
      <c r="AD27" s="141">
        <v>0</v>
      </c>
      <c r="AE27" s="141">
        <v>0</v>
      </c>
      <c r="AF27" s="141">
        <v>0</v>
      </c>
      <c r="AG27" s="141">
        <v>0</v>
      </c>
      <c r="AH27" s="141">
        <v>0</v>
      </c>
      <c r="AI27" s="141">
        <v>0</v>
      </c>
      <c r="AJ27" s="141">
        <v>0</v>
      </c>
      <c r="AK27" s="141">
        <v>0</v>
      </c>
      <c r="AL27" s="228">
        <v>0</v>
      </c>
    </row>
    <row r="28" spans="1:38" s="2" customFormat="1" ht="31.5">
      <c r="A28" s="207" t="s">
        <v>482</v>
      </c>
      <c r="B28" s="159" t="s">
        <v>483</v>
      </c>
      <c r="C28" s="173" t="s">
        <v>261</v>
      </c>
      <c r="D28" s="141">
        <f>D50</f>
        <v>0</v>
      </c>
      <c r="E28" s="141">
        <f aca="true" t="shared" si="3" ref="E28:AL28">E51</f>
        <v>0</v>
      </c>
      <c r="F28" s="141">
        <f t="shared" si="3"/>
        <v>0</v>
      </c>
      <c r="G28" s="141">
        <f t="shared" si="3"/>
        <v>0</v>
      </c>
      <c r="H28" s="141">
        <f t="shared" si="3"/>
        <v>0</v>
      </c>
      <c r="I28" s="141">
        <f t="shared" si="3"/>
        <v>0</v>
      </c>
      <c r="J28" s="141">
        <f t="shared" si="3"/>
        <v>0</v>
      </c>
      <c r="K28" s="141">
        <f t="shared" si="3"/>
        <v>0</v>
      </c>
      <c r="L28" s="141">
        <f t="shared" si="3"/>
        <v>0</v>
      </c>
      <c r="M28" s="141">
        <f t="shared" si="3"/>
        <v>0</v>
      </c>
      <c r="N28" s="141">
        <f t="shared" si="3"/>
        <v>0</v>
      </c>
      <c r="O28" s="141">
        <f t="shared" si="3"/>
        <v>0</v>
      </c>
      <c r="P28" s="141">
        <f t="shared" si="3"/>
        <v>0</v>
      </c>
      <c r="Q28" s="141">
        <f t="shared" si="3"/>
        <v>0</v>
      </c>
      <c r="R28" s="141">
        <f t="shared" si="3"/>
        <v>0</v>
      </c>
      <c r="S28" s="141">
        <f t="shared" si="3"/>
        <v>1.50527848</v>
      </c>
      <c r="T28" s="141">
        <f t="shared" si="3"/>
        <v>0</v>
      </c>
      <c r="U28" s="141">
        <f t="shared" si="3"/>
        <v>0</v>
      </c>
      <c r="V28" s="141">
        <f t="shared" si="3"/>
        <v>0.4</v>
      </c>
      <c r="W28" s="141">
        <f t="shared" si="3"/>
        <v>0</v>
      </c>
      <c r="X28" s="141">
        <f t="shared" si="3"/>
        <v>0</v>
      </c>
      <c r="Y28" s="141">
        <f t="shared" si="3"/>
        <v>0</v>
      </c>
      <c r="Z28" s="141">
        <f t="shared" si="3"/>
        <v>4.784526469152542</v>
      </c>
      <c r="AA28" s="141">
        <f t="shared" si="3"/>
        <v>0</v>
      </c>
      <c r="AB28" s="141">
        <f t="shared" si="3"/>
        <v>0</v>
      </c>
      <c r="AC28" s="141">
        <f t="shared" si="3"/>
        <v>1.8440000000000003</v>
      </c>
      <c r="AD28" s="141">
        <f t="shared" si="3"/>
        <v>0</v>
      </c>
      <c r="AE28" s="141">
        <f t="shared" si="3"/>
        <v>0</v>
      </c>
      <c r="AF28" s="141">
        <f t="shared" si="3"/>
        <v>0</v>
      </c>
      <c r="AG28" s="141">
        <f t="shared" si="3"/>
        <v>6.2898049491525425</v>
      </c>
      <c r="AH28" s="141">
        <f t="shared" si="3"/>
        <v>0</v>
      </c>
      <c r="AI28" s="141">
        <f t="shared" si="3"/>
        <v>0</v>
      </c>
      <c r="AJ28" s="141">
        <f t="shared" si="3"/>
        <v>2.244</v>
      </c>
      <c r="AK28" s="141">
        <f t="shared" si="3"/>
        <v>0</v>
      </c>
      <c r="AL28" s="228">
        <f t="shared" si="3"/>
        <v>0</v>
      </c>
    </row>
    <row r="29" spans="1:38" s="2" customFormat="1" ht="31.5">
      <c r="A29" s="207" t="s">
        <v>484</v>
      </c>
      <c r="B29" s="160" t="s">
        <v>485</v>
      </c>
      <c r="C29" s="173" t="s">
        <v>261</v>
      </c>
      <c r="D29" s="141">
        <v>0</v>
      </c>
      <c r="E29" s="141">
        <v>0</v>
      </c>
      <c r="F29" s="141">
        <v>0</v>
      </c>
      <c r="G29" s="141">
        <v>0</v>
      </c>
      <c r="H29" s="141">
        <v>0</v>
      </c>
      <c r="I29" s="141">
        <v>0</v>
      </c>
      <c r="J29" s="141">
        <v>0</v>
      </c>
      <c r="K29" s="141">
        <v>0</v>
      </c>
      <c r="L29" s="141">
        <v>0</v>
      </c>
      <c r="M29" s="141">
        <v>0</v>
      </c>
      <c r="N29" s="141">
        <v>0</v>
      </c>
      <c r="O29" s="141">
        <v>0</v>
      </c>
      <c r="P29" s="141">
        <v>0</v>
      </c>
      <c r="Q29" s="141">
        <v>0</v>
      </c>
      <c r="R29" s="141">
        <v>0</v>
      </c>
      <c r="S29" s="141">
        <v>0</v>
      </c>
      <c r="T29" s="141">
        <v>0</v>
      </c>
      <c r="U29" s="141">
        <v>0</v>
      </c>
      <c r="V29" s="141">
        <v>0</v>
      </c>
      <c r="W29" s="141">
        <v>0</v>
      </c>
      <c r="X29" s="141">
        <v>0</v>
      </c>
      <c r="Y29" s="141">
        <v>0</v>
      </c>
      <c r="Z29" s="141">
        <v>0</v>
      </c>
      <c r="AA29" s="141">
        <v>0</v>
      </c>
      <c r="AB29" s="141">
        <v>0</v>
      </c>
      <c r="AC29" s="141">
        <v>0</v>
      </c>
      <c r="AD29" s="141">
        <v>0</v>
      </c>
      <c r="AE29" s="141">
        <v>0</v>
      </c>
      <c r="AF29" s="141">
        <v>0</v>
      </c>
      <c r="AG29" s="141">
        <v>0</v>
      </c>
      <c r="AH29" s="141">
        <v>0</v>
      </c>
      <c r="AI29" s="141">
        <v>0</v>
      </c>
      <c r="AJ29" s="141">
        <v>0</v>
      </c>
      <c r="AK29" s="141">
        <v>0</v>
      </c>
      <c r="AL29" s="228">
        <v>0</v>
      </c>
    </row>
    <row r="30" spans="1:38" s="2" customFormat="1" ht="15.75">
      <c r="A30" s="207" t="s">
        <v>486</v>
      </c>
      <c r="B30" s="160" t="s">
        <v>487</v>
      </c>
      <c r="C30" s="173" t="s">
        <v>261</v>
      </c>
      <c r="D30" s="141">
        <f>D46</f>
        <v>0</v>
      </c>
      <c r="E30" s="141">
        <f aca="true" t="shared" si="4" ref="E30:AL30">E46</f>
        <v>0</v>
      </c>
      <c r="F30" s="141">
        <f t="shared" si="4"/>
        <v>0</v>
      </c>
      <c r="G30" s="141">
        <f t="shared" si="4"/>
        <v>0</v>
      </c>
      <c r="H30" s="141">
        <f t="shared" si="4"/>
        <v>0</v>
      </c>
      <c r="I30" s="141">
        <f t="shared" si="4"/>
        <v>0</v>
      </c>
      <c r="J30" s="141">
        <f t="shared" si="4"/>
        <v>0</v>
      </c>
      <c r="K30" s="141">
        <f t="shared" si="4"/>
        <v>0</v>
      </c>
      <c r="L30" s="141">
        <f t="shared" si="4"/>
        <v>0</v>
      </c>
      <c r="M30" s="141">
        <f t="shared" si="4"/>
        <v>0</v>
      </c>
      <c r="N30" s="141">
        <f t="shared" si="4"/>
        <v>0</v>
      </c>
      <c r="O30" s="141">
        <f t="shared" si="4"/>
        <v>0</v>
      </c>
      <c r="P30" s="141">
        <f t="shared" si="4"/>
        <v>0</v>
      </c>
      <c r="Q30" s="141">
        <f t="shared" si="4"/>
        <v>0</v>
      </c>
      <c r="R30" s="141">
        <f t="shared" si="4"/>
        <v>0</v>
      </c>
      <c r="S30" s="141">
        <f t="shared" si="4"/>
        <v>0</v>
      </c>
      <c r="T30" s="141">
        <f t="shared" si="4"/>
        <v>0</v>
      </c>
      <c r="U30" s="141">
        <f t="shared" si="4"/>
        <v>0</v>
      </c>
      <c r="V30" s="141">
        <f t="shared" si="4"/>
        <v>0</v>
      </c>
      <c r="W30" s="141">
        <f t="shared" si="4"/>
        <v>0</v>
      </c>
      <c r="X30" s="141">
        <f t="shared" si="4"/>
        <v>0</v>
      </c>
      <c r="Y30" s="141">
        <f t="shared" si="4"/>
        <v>0</v>
      </c>
      <c r="Z30" s="141">
        <f t="shared" si="4"/>
        <v>2.5165542372881355</v>
      </c>
      <c r="AA30" s="141">
        <f t="shared" si="4"/>
        <v>0</v>
      </c>
      <c r="AB30" s="141">
        <f t="shared" si="4"/>
        <v>0</v>
      </c>
      <c r="AC30" s="141">
        <f t="shared" si="4"/>
        <v>0</v>
      </c>
      <c r="AD30" s="141">
        <f t="shared" si="4"/>
        <v>0</v>
      </c>
      <c r="AE30" s="141">
        <f t="shared" si="4"/>
        <v>0</v>
      </c>
      <c r="AF30" s="141">
        <f t="shared" si="4"/>
        <v>0</v>
      </c>
      <c r="AG30" s="141">
        <f t="shared" si="4"/>
        <v>2.5165542372881355</v>
      </c>
      <c r="AH30" s="141">
        <f t="shared" si="4"/>
        <v>0</v>
      </c>
      <c r="AI30" s="141">
        <f t="shared" si="4"/>
        <v>0</v>
      </c>
      <c r="AJ30" s="141">
        <f t="shared" si="4"/>
        <v>0</v>
      </c>
      <c r="AK30" s="141">
        <f t="shared" si="4"/>
        <v>0</v>
      </c>
      <c r="AL30" s="228">
        <f t="shared" si="4"/>
        <v>0</v>
      </c>
    </row>
    <row r="31" spans="1:38" s="2" customFormat="1" ht="31.5">
      <c r="A31" s="325">
        <v>1</v>
      </c>
      <c r="B31" s="161" t="s">
        <v>260</v>
      </c>
      <c r="C31" s="173" t="s">
        <v>261</v>
      </c>
      <c r="D31" s="141">
        <f aca="true" t="shared" si="5" ref="D31:AL31">D32+D43</f>
        <v>0</v>
      </c>
      <c r="E31" s="141">
        <f t="shared" si="5"/>
        <v>0</v>
      </c>
      <c r="F31" s="141">
        <f t="shared" si="5"/>
        <v>0</v>
      </c>
      <c r="G31" s="141">
        <f t="shared" si="5"/>
        <v>0</v>
      </c>
      <c r="H31" s="141">
        <f t="shared" si="5"/>
        <v>0</v>
      </c>
      <c r="I31" s="141">
        <f t="shared" si="5"/>
        <v>0</v>
      </c>
      <c r="J31" s="141">
        <f t="shared" si="5"/>
        <v>0</v>
      </c>
      <c r="K31" s="141">
        <f t="shared" si="5"/>
        <v>0</v>
      </c>
      <c r="L31" s="141">
        <f t="shared" si="5"/>
        <v>0.65390371</v>
      </c>
      <c r="M31" s="141">
        <f t="shared" si="5"/>
        <v>0</v>
      </c>
      <c r="N31" s="141">
        <f t="shared" si="5"/>
        <v>0</v>
      </c>
      <c r="O31" s="141">
        <f t="shared" si="5"/>
        <v>0.784</v>
      </c>
      <c r="P31" s="141">
        <f t="shared" si="5"/>
        <v>0</v>
      </c>
      <c r="Q31" s="141">
        <f t="shared" si="5"/>
        <v>0</v>
      </c>
      <c r="R31" s="141">
        <f t="shared" si="5"/>
        <v>0</v>
      </c>
      <c r="S31" s="141">
        <f t="shared" si="5"/>
        <v>3.040014</v>
      </c>
      <c r="T31" s="141">
        <f t="shared" si="5"/>
        <v>0</v>
      </c>
      <c r="U31" s="141">
        <f t="shared" si="5"/>
        <v>0</v>
      </c>
      <c r="V31" s="141">
        <f t="shared" si="5"/>
        <v>2.541</v>
      </c>
      <c r="W31" s="141">
        <f t="shared" si="5"/>
        <v>0</v>
      </c>
      <c r="X31" s="141">
        <f t="shared" si="5"/>
        <v>0</v>
      </c>
      <c r="Y31" s="141">
        <f t="shared" si="5"/>
        <v>0</v>
      </c>
      <c r="Z31" s="141">
        <f t="shared" si="5"/>
        <v>8.65933572881356</v>
      </c>
      <c r="AA31" s="141">
        <f t="shared" si="5"/>
        <v>0</v>
      </c>
      <c r="AB31" s="141">
        <f t="shared" si="5"/>
        <v>0</v>
      </c>
      <c r="AC31" s="141">
        <f t="shared" si="5"/>
        <v>7.749999999999999</v>
      </c>
      <c r="AD31" s="141">
        <f t="shared" si="5"/>
        <v>0</v>
      </c>
      <c r="AE31" s="141">
        <f t="shared" si="5"/>
        <v>0</v>
      </c>
      <c r="AF31" s="141">
        <f t="shared" si="5"/>
        <v>0</v>
      </c>
      <c r="AG31" s="141">
        <f t="shared" si="5"/>
        <v>12.353253438813558</v>
      </c>
      <c r="AH31" s="141">
        <f t="shared" si="5"/>
        <v>0</v>
      </c>
      <c r="AI31" s="141">
        <f t="shared" si="5"/>
        <v>0</v>
      </c>
      <c r="AJ31" s="141">
        <f t="shared" si="5"/>
        <v>11.075000000000001</v>
      </c>
      <c r="AK31" s="141">
        <f t="shared" si="5"/>
        <v>0</v>
      </c>
      <c r="AL31" s="228">
        <f t="shared" si="5"/>
        <v>0</v>
      </c>
    </row>
    <row r="32" spans="1:38" s="2" customFormat="1" ht="47.25">
      <c r="A32" s="207" t="s">
        <v>285</v>
      </c>
      <c r="B32" s="161" t="s">
        <v>263</v>
      </c>
      <c r="C32" s="173" t="s">
        <v>261</v>
      </c>
      <c r="D32" s="141">
        <f aca="true" t="shared" si="6" ref="D32:AL32">SUM(D33:D42)</f>
        <v>0</v>
      </c>
      <c r="E32" s="141">
        <f t="shared" si="6"/>
        <v>0</v>
      </c>
      <c r="F32" s="141">
        <f t="shared" si="6"/>
        <v>0</v>
      </c>
      <c r="G32" s="141">
        <f t="shared" si="6"/>
        <v>0</v>
      </c>
      <c r="H32" s="141">
        <f t="shared" si="6"/>
        <v>0</v>
      </c>
      <c r="I32" s="141">
        <f t="shared" si="6"/>
        <v>0</v>
      </c>
      <c r="J32" s="141">
        <f t="shared" si="6"/>
        <v>0</v>
      </c>
      <c r="K32" s="141">
        <f t="shared" si="6"/>
        <v>0</v>
      </c>
      <c r="L32" s="141">
        <f t="shared" si="6"/>
        <v>0.65390371</v>
      </c>
      <c r="M32" s="141">
        <f t="shared" si="6"/>
        <v>0</v>
      </c>
      <c r="N32" s="141">
        <f t="shared" si="6"/>
        <v>0</v>
      </c>
      <c r="O32" s="141">
        <f t="shared" si="6"/>
        <v>0.784</v>
      </c>
      <c r="P32" s="141">
        <f t="shared" si="6"/>
        <v>0</v>
      </c>
      <c r="Q32" s="141">
        <f t="shared" si="6"/>
        <v>0</v>
      </c>
      <c r="R32" s="141">
        <f t="shared" si="6"/>
        <v>0</v>
      </c>
      <c r="S32" s="141">
        <f t="shared" si="6"/>
        <v>3.040014</v>
      </c>
      <c r="T32" s="141">
        <f t="shared" si="6"/>
        <v>0</v>
      </c>
      <c r="U32" s="141">
        <f t="shared" si="6"/>
        <v>0</v>
      </c>
      <c r="V32" s="141">
        <f t="shared" si="6"/>
        <v>2.541</v>
      </c>
      <c r="W32" s="141">
        <f t="shared" si="6"/>
        <v>0</v>
      </c>
      <c r="X32" s="141">
        <f t="shared" si="6"/>
        <v>0</v>
      </c>
      <c r="Y32" s="141">
        <f t="shared" si="6"/>
        <v>0</v>
      </c>
      <c r="Z32" s="141">
        <f t="shared" si="6"/>
        <v>8.04933572881356</v>
      </c>
      <c r="AA32" s="141">
        <f t="shared" si="6"/>
        <v>0</v>
      </c>
      <c r="AB32" s="141">
        <f t="shared" si="6"/>
        <v>0</v>
      </c>
      <c r="AC32" s="141">
        <f t="shared" si="6"/>
        <v>7.749999999999999</v>
      </c>
      <c r="AD32" s="141">
        <f t="shared" si="6"/>
        <v>0</v>
      </c>
      <c r="AE32" s="141">
        <f t="shared" si="6"/>
        <v>0</v>
      </c>
      <c r="AF32" s="141">
        <f t="shared" si="6"/>
        <v>0</v>
      </c>
      <c r="AG32" s="141">
        <f t="shared" si="6"/>
        <v>11.743253438813559</v>
      </c>
      <c r="AH32" s="141">
        <f t="shared" si="6"/>
        <v>0</v>
      </c>
      <c r="AI32" s="141">
        <f t="shared" si="6"/>
        <v>0</v>
      </c>
      <c r="AJ32" s="141">
        <f t="shared" si="6"/>
        <v>11.075000000000001</v>
      </c>
      <c r="AK32" s="141">
        <f t="shared" si="6"/>
        <v>0</v>
      </c>
      <c r="AL32" s="228">
        <f t="shared" si="6"/>
        <v>0</v>
      </c>
    </row>
    <row r="33" spans="1:38" s="2" customFormat="1" ht="63">
      <c r="A33" s="238" t="s">
        <v>285</v>
      </c>
      <c r="B33" s="170" t="str">
        <f>1!B33</f>
        <v>Реконструкция ВЛ-0,4 кВ ул.Шоссейная, п.Иноземцево, (и/н 0000467), СИП-2 3х50+1х54,6 - 0,418 км, СИП-2 3х35+1х54,6 - 0,366 км и СИП-4 2х16 - 0,575 км</v>
      </c>
      <c r="C33" s="405" t="str">
        <f>1!C33</f>
        <v>G_Gelezno_001</v>
      </c>
      <c r="D33" s="127"/>
      <c r="E33" s="127"/>
      <c r="F33" s="127"/>
      <c r="G33" s="127"/>
      <c r="H33" s="127"/>
      <c r="I33" s="127"/>
      <c r="J33" s="127"/>
      <c r="K33" s="127"/>
      <c r="L33" s="127">
        <f>4!D35</f>
        <v>0.65390371</v>
      </c>
      <c r="M33" s="127"/>
      <c r="N33" s="127"/>
      <c r="O33" s="127">
        <f>4!J35</f>
        <v>0.784</v>
      </c>
      <c r="P33" s="127"/>
      <c r="Q33" s="127"/>
      <c r="R33" s="127"/>
      <c r="S33" s="127"/>
      <c r="T33" s="127"/>
      <c r="U33" s="127"/>
      <c r="V33" s="127"/>
      <c r="W33" s="127"/>
      <c r="X33" s="127"/>
      <c r="Y33" s="127"/>
      <c r="Z33" s="127"/>
      <c r="AA33" s="127"/>
      <c r="AB33" s="127"/>
      <c r="AC33" s="127"/>
      <c r="AD33" s="127"/>
      <c r="AE33" s="127"/>
      <c r="AF33" s="127"/>
      <c r="AG33" s="127">
        <f>E33+L33+S33+Z33</f>
        <v>0.65390371</v>
      </c>
      <c r="AH33" s="127"/>
      <c r="AI33" s="127"/>
      <c r="AJ33" s="127">
        <f>H33+O33+V33+AC33</f>
        <v>0.784</v>
      </c>
      <c r="AK33" s="127"/>
      <c r="AL33" s="253"/>
    </row>
    <row r="34" spans="1:38" s="2" customFormat="1" ht="47.25">
      <c r="A34" s="238" t="s">
        <v>285</v>
      </c>
      <c r="B34" s="170" t="str">
        <f>1!B34</f>
        <v>Реконструкция ВЛ-0,4 кВ ул.Р.Люксембург, г.Железноводск, (и/н 0000305), СИП-2 3х35+1х54,6 - 0,367 км и СИП-4 2х16 - 0,45 км</v>
      </c>
      <c r="C34" s="405" t="str">
        <f>1!C34</f>
        <v>G_Gelezno_002</v>
      </c>
      <c r="D34" s="127"/>
      <c r="E34" s="127"/>
      <c r="F34" s="127"/>
      <c r="G34" s="127"/>
      <c r="H34" s="127"/>
      <c r="I34" s="127"/>
      <c r="J34" s="127"/>
      <c r="K34" s="127"/>
      <c r="L34" s="127"/>
      <c r="M34" s="127"/>
      <c r="N34" s="127"/>
      <c r="O34" s="127"/>
      <c r="P34" s="127"/>
      <c r="Q34" s="127"/>
      <c r="R34" s="127"/>
      <c r="S34" s="127">
        <f>4!D36</f>
        <v>0.412</v>
      </c>
      <c r="T34" s="127"/>
      <c r="U34" s="127"/>
      <c r="V34" s="127">
        <f>4!J36</f>
        <v>0.367</v>
      </c>
      <c r="W34" s="127"/>
      <c r="X34" s="127"/>
      <c r="Y34" s="127"/>
      <c r="Z34" s="127"/>
      <c r="AA34" s="127"/>
      <c r="AB34" s="127"/>
      <c r="AC34" s="127"/>
      <c r="AD34" s="127"/>
      <c r="AE34" s="127"/>
      <c r="AF34" s="127"/>
      <c r="AG34" s="127">
        <f aca="true" t="shared" si="7" ref="AG34:AG44">E34+L34+S34+Z34</f>
        <v>0.412</v>
      </c>
      <c r="AH34" s="127"/>
      <c r="AI34" s="127"/>
      <c r="AJ34" s="127">
        <f aca="true" t="shared" si="8" ref="AJ34:AJ41">H34+O34+V34+AC34</f>
        <v>0.367</v>
      </c>
      <c r="AK34" s="127"/>
      <c r="AL34" s="253"/>
    </row>
    <row r="35" spans="1:38" s="2" customFormat="1" ht="47.25">
      <c r="A35" s="238" t="s">
        <v>285</v>
      </c>
      <c r="B35" s="170" t="str">
        <f>1!B35</f>
        <v>Реконструкция ВЛ-0,4 кВ ул.Свободы, п.Иноземцево, (и/н 0000450 и 0000451), СИП-2 3х35+1х54,6 - 2,35 км и СИП-4 2х16 - 2,97 км</v>
      </c>
      <c r="C35" s="405" t="str">
        <f>1!C35</f>
        <v>G_Gelezno_003</v>
      </c>
      <c r="D35" s="127"/>
      <c r="E35" s="127"/>
      <c r="F35" s="127"/>
      <c r="G35" s="127"/>
      <c r="H35" s="127"/>
      <c r="I35" s="127"/>
      <c r="J35" s="127"/>
      <c r="K35" s="127"/>
      <c r="L35" s="127"/>
      <c r="M35" s="127"/>
      <c r="N35" s="127"/>
      <c r="O35" s="127"/>
      <c r="P35" s="127"/>
      <c r="Q35" s="127"/>
      <c r="R35" s="127"/>
      <c r="S35" s="127"/>
      <c r="T35" s="127"/>
      <c r="U35" s="127"/>
      <c r="V35" s="127"/>
      <c r="W35" s="127"/>
      <c r="X35" s="127"/>
      <c r="Y35" s="127"/>
      <c r="Z35" s="127">
        <f>4!D37</f>
        <v>2.2449661016949154</v>
      </c>
      <c r="AA35" s="127"/>
      <c r="AB35" s="127"/>
      <c r="AC35" s="127">
        <f>4!J37</f>
        <v>2.35</v>
      </c>
      <c r="AD35" s="127"/>
      <c r="AE35" s="127"/>
      <c r="AF35" s="127"/>
      <c r="AG35" s="127">
        <f t="shared" si="7"/>
        <v>2.2449661016949154</v>
      </c>
      <c r="AH35" s="127"/>
      <c r="AI35" s="127"/>
      <c r="AJ35" s="127">
        <f t="shared" si="8"/>
        <v>2.35</v>
      </c>
      <c r="AK35" s="127"/>
      <c r="AL35" s="253"/>
    </row>
    <row r="36" spans="1:38" s="2" customFormat="1" ht="47.25">
      <c r="A36" s="238" t="s">
        <v>285</v>
      </c>
      <c r="B36" s="170" t="str">
        <f>1!B36</f>
        <v>Реконструкция ВЛ-0,4 кВ ул.Свободы до озера (от ул.Шоссей-ной), п.Иноземцево, (и/н 0000453), СИП-2 3х35+1х54,6 - 2,26 км и СИП-4 2х16 - 2,17 км</v>
      </c>
      <c r="C36" s="405" t="str">
        <f>1!C36</f>
        <v>G_Gelezno_004</v>
      </c>
      <c r="D36" s="127"/>
      <c r="E36" s="127"/>
      <c r="F36" s="127"/>
      <c r="G36" s="127"/>
      <c r="H36" s="127"/>
      <c r="I36" s="127"/>
      <c r="J36" s="127"/>
      <c r="K36" s="127"/>
      <c r="L36" s="127"/>
      <c r="M36" s="127"/>
      <c r="N36" s="127"/>
      <c r="O36" s="127"/>
      <c r="P36" s="127"/>
      <c r="Q36" s="127"/>
      <c r="R36" s="127"/>
      <c r="S36" s="127"/>
      <c r="T36" s="127"/>
      <c r="U36" s="127"/>
      <c r="V36" s="127"/>
      <c r="W36" s="127"/>
      <c r="X36" s="127"/>
      <c r="Y36" s="127"/>
      <c r="Z36" s="127">
        <f>4!D38</f>
        <v>2.2506069152542376</v>
      </c>
      <c r="AA36" s="127"/>
      <c r="AB36" s="127"/>
      <c r="AC36" s="127">
        <f>4!J38</f>
        <v>2.26</v>
      </c>
      <c r="AD36" s="127"/>
      <c r="AE36" s="127"/>
      <c r="AF36" s="127"/>
      <c r="AG36" s="127">
        <f t="shared" si="7"/>
        <v>2.2506069152542376</v>
      </c>
      <c r="AH36" s="127"/>
      <c r="AI36" s="127"/>
      <c r="AJ36" s="127">
        <f t="shared" si="8"/>
        <v>2.26</v>
      </c>
      <c r="AK36" s="127"/>
      <c r="AL36" s="253"/>
    </row>
    <row r="37" spans="1:38" s="2" customFormat="1" ht="47.25">
      <c r="A37" s="238" t="s">
        <v>285</v>
      </c>
      <c r="B37" s="170" t="str">
        <f>1!B37</f>
        <v>Реконструкция ВЛ-0,4 кВ ул.60 лет Октября, п.Иноземцево, (и/н 0000329 и 0000330), СИП-2 3х35+1х54,6 - 0,836 км и СИП-4 2х16 - 2,2 км</v>
      </c>
      <c r="C37" s="405" t="str">
        <f>1!C37</f>
        <v>G_Gelezno_005</v>
      </c>
      <c r="D37" s="127"/>
      <c r="E37" s="127"/>
      <c r="F37" s="127"/>
      <c r="G37" s="127"/>
      <c r="H37" s="127"/>
      <c r="I37" s="127"/>
      <c r="J37" s="127"/>
      <c r="K37" s="127"/>
      <c r="L37" s="127"/>
      <c r="M37" s="127"/>
      <c r="N37" s="127"/>
      <c r="O37" s="127"/>
      <c r="P37" s="127"/>
      <c r="Q37" s="127"/>
      <c r="R37" s="127"/>
      <c r="S37" s="127">
        <f>4!D39</f>
        <v>1.094</v>
      </c>
      <c r="T37" s="127"/>
      <c r="U37" s="127"/>
      <c r="V37" s="127">
        <f>4!J39</f>
        <v>0.836</v>
      </c>
      <c r="W37" s="127"/>
      <c r="X37" s="127"/>
      <c r="Y37" s="127"/>
      <c r="Z37" s="127"/>
      <c r="AA37" s="127"/>
      <c r="AB37" s="127"/>
      <c r="AC37" s="127"/>
      <c r="AD37" s="127"/>
      <c r="AE37" s="127"/>
      <c r="AF37" s="127"/>
      <c r="AG37" s="127">
        <f t="shared" si="7"/>
        <v>1.094</v>
      </c>
      <c r="AH37" s="127"/>
      <c r="AI37" s="127"/>
      <c r="AJ37" s="127">
        <f t="shared" si="8"/>
        <v>0.836</v>
      </c>
      <c r="AK37" s="127"/>
      <c r="AL37" s="253"/>
    </row>
    <row r="38" spans="1:38" s="2" customFormat="1" ht="47.25">
      <c r="A38" s="238" t="s">
        <v>285</v>
      </c>
      <c r="B38" s="170" t="str">
        <f>1!B38</f>
        <v>Реконструкция ВЛ-0,4 кВ ул.К.Цеткин и/н 0000376  и  ул.Пушкина и/н 0000440 п.Иноземцево, СИП-2 3х35+1х54,6 - 2,02 км и СИП-4 2х16 - 1,42 км</v>
      </c>
      <c r="C38" s="405" t="str">
        <f>1!C38</f>
        <v>G_Gelezno_006</v>
      </c>
      <c r="D38" s="127"/>
      <c r="E38" s="127"/>
      <c r="F38" s="127"/>
      <c r="G38" s="127"/>
      <c r="H38" s="127"/>
      <c r="I38" s="127"/>
      <c r="J38" s="127"/>
      <c r="K38" s="127"/>
      <c r="L38" s="127"/>
      <c r="M38" s="127"/>
      <c r="N38" s="127"/>
      <c r="O38" s="127"/>
      <c r="P38" s="127"/>
      <c r="Q38" s="127"/>
      <c r="R38" s="127"/>
      <c r="S38" s="127"/>
      <c r="T38" s="127"/>
      <c r="U38" s="127"/>
      <c r="V38" s="127"/>
      <c r="W38" s="127"/>
      <c r="X38" s="127"/>
      <c r="Y38" s="127"/>
      <c r="Z38" s="127">
        <f>4!D40</f>
        <v>2.285</v>
      </c>
      <c r="AA38" s="127"/>
      <c r="AB38" s="127"/>
      <c r="AC38" s="127">
        <f>4!J40</f>
        <v>2.02</v>
      </c>
      <c r="AD38" s="127"/>
      <c r="AE38" s="127"/>
      <c r="AF38" s="127"/>
      <c r="AG38" s="127">
        <f t="shared" si="7"/>
        <v>2.285</v>
      </c>
      <c r="AH38" s="127"/>
      <c r="AI38" s="127"/>
      <c r="AJ38" s="127">
        <f t="shared" si="8"/>
        <v>2.02</v>
      </c>
      <c r="AK38" s="127"/>
      <c r="AL38" s="253"/>
    </row>
    <row r="39" spans="1:38" s="2" customFormat="1" ht="47.25">
      <c r="A39" s="238" t="s">
        <v>285</v>
      </c>
      <c r="B39" s="170" t="str">
        <f>1!B39</f>
        <v>Реконструкция ВЛ-0,4 кВ ул.Бахановича, г.Железноводск, (и/н 0000285), СИП-2 3х35+1х54,6 - 0,502км и СИП-4 2х16 - 0,784 км</v>
      </c>
      <c r="C39" s="405" t="str">
        <f>1!C39</f>
        <v>G_Gelezno_007</v>
      </c>
      <c r="D39" s="127"/>
      <c r="E39" s="127"/>
      <c r="F39" s="127"/>
      <c r="G39" s="127"/>
      <c r="H39" s="127"/>
      <c r="I39" s="127"/>
      <c r="J39" s="127"/>
      <c r="K39" s="127"/>
      <c r="L39" s="127"/>
      <c r="M39" s="127"/>
      <c r="N39" s="127"/>
      <c r="O39" s="127"/>
      <c r="P39" s="127"/>
      <c r="Q39" s="127"/>
      <c r="R39" s="127"/>
      <c r="S39" s="127">
        <f>4!D41</f>
        <v>0.623</v>
      </c>
      <c r="T39" s="127"/>
      <c r="U39" s="127"/>
      <c r="V39" s="127">
        <f>4!J41</f>
        <v>0.502</v>
      </c>
      <c r="W39" s="127"/>
      <c r="X39" s="127"/>
      <c r="Y39" s="127"/>
      <c r="Z39" s="127"/>
      <c r="AA39" s="127"/>
      <c r="AB39" s="127"/>
      <c r="AC39" s="127"/>
      <c r="AD39" s="127"/>
      <c r="AE39" s="127"/>
      <c r="AF39" s="127"/>
      <c r="AG39" s="127">
        <f t="shared" si="7"/>
        <v>0.623</v>
      </c>
      <c r="AH39" s="127"/>
      <c r="AI39" s="127"/>
      <c r="AJ39" s="127">
        <f t="shared" si="8"/>
        <v>0.502</v>
      </c>
      <c r="AK39" s="127"/>
      <c r="AL39" s="253"/>
    </row>
    <row r="40" spans="1:38" s="2" customFormat="1" ht="47.25">
      <c r="A40" s="238" t="s">
        <v>285</v>
      </c>
      <c r="B40" s="170" t="str">
        <f>1!B40</f>
        <v>Реконструкция ВЛ-0,4 кВ ул.Ивановская, г. Железноводск, (и/н 0000370 и 0000371 ), СИП-2 3х35+1х54,6 - 1,12 км и СИП-4 2х16 - 0,4 км</v>
      </c>
      <c r="C40" s="405" t="str">
        <f>1!C40</f>
        <v>G_Gelezno_008</v>
      </c>
      <c r="D40" s="127"/>
      <c r="E40" s="127"/>
      <c r="F40" s="127"/>
      <c r="G40" s="127"/>
      <c r="H40" s="127"/>
      <c r="I40" s="127"/>
      <c r="J40" s="127"/>
      <c r="K40" s="127"/>
      <c r="L40" s="127"/>
      <c r="M40" s="127"/>
      <c r="N40" s="127"/>
      <c r="O40" s="127"/>
      <c r="P40" s="127"/>
      <c r="Q40" s="127"/>
      <c r="R40" s="127"/>
      <c r="S40" s="127"/>
      <c r="T40" s="127"/>
      <c r="U40" s="127"/>
      <c r="V40" s="127"/>
      <c r="W40" s="127"/>
      <c r="X40" s="127"/>
      <c r="Y40" s="127"/>
      <c r="Z40" s="127">
        <f>4!D42</f>
        <v>1.2687627118644065</v>
      </c>
      <c r="AA40" s="127"/>
      <c r="AB40" s="127"/>
      <c r="AC40" s="127">
        <f>4!J42</f>
        <v>1.12</v>
      </c>
      <c r="AD40" s="127"/>
      <c r="AE40" s="127"/>
      <c r="AF40" s="127"/>
      <c r="AG40" s="127">
        <f t="shared" si="7"/>
        <v>1.2687627118644065</v>
      </c>
      <c r="AH40" s="127"/>
      <c r="AI40" s="127"/>
      <c r="AJ40" s="127">
        <f t="shared" si="8"/>
        <v>1.12</v>
      </c>
      <c r="AK40" s="127"/>
      <c r="AL40" s="253"/>
    </row>
    <row r="41" spans="1:38" s="2" customFormat="1" ht="47.25">
      <c r="A41" s="238" t="s">
        <v>285</v>
      </c>
      <c r="B41" s="170" t="str">
        <f>1!B41</f>
        <v>Реконструкция ВЛ-0,4 кВ ул.Бахановича от ул.Чапаева, г.Желез-новодск, (и/н 0000283), СИП-2 3х35+1х54,6 - 0,836 км и СИП-4 2х16 - 1,306 км</v>
      </c>
      <c r="C41" s="405" t="str">
        <f>1!C41</f>
        <v>G_Gelezno_009</v>
      </c>
      <c r="D41" s="127"/>
      <c r="E41" s="127"/>
      <c r="F41" s="127"/>
      <c r="G41" s="127"/>
      <c r="H41" s="127"/>
      <c r="I41" s="127"/>
      <c r="J41" s="127"/>
      <c r="K41" s="127"/>
      <c r="L41" s="127"/>
      <c r="M41" s="127"/>
      <c r="N41" s="127"/>
      <c r="O41" s="127"/>
      <c r="P41" s="127"/>
      <c r="Q41" s="127"/>
      <c r="R41" s="127"/>
      <c r="S41" s="127">
        <f>4!D43</f>
        <v>0.9110140000000001</v>
      </c>
      <c r="T41" s="127"/>
      <c r="U41" s="127"/>
      <c r="V41" s="127">
        <f>4!J43</f>
        <v>0.836</v>
      </c>
      <c r="W41" s="127"/>
      <c r="X41" s="127"/>
      <c r="Y41" s="127"/>
      <c r="Z41" s="127"/>
      <c r="AA41" s="127"/>
      <c r="AB41" s="127"/>
      <c r="AC41" s="127"/>
      <c r="AD41" s="127"/>
      <c r="AE41" s="127"/>
      <c r="AF41" s="127"/>
      <c r="AG41" s="127">
        <f t="shared" si="7"/>
        <v>0.9110140000000001</v>
      </c>
      <c r="AH41" s="127"/>
      <c r="AI41" s="127"/>
      <c r="AJ41" s="127">
        <f t="shared" si="8"/>
        <v>0.836</v>
      </c>
      <c r="AK41" s="127"/>
      <c r="AL41" s="253"/>
    </row>
    <row r="42" spans="1:38" s="2" customFormat="1" ht="7.5" customHeight="1">
      <c r="A42" s="238"/>
      <c r="B42" s="125"/>
      <c r="C42" s="92"/>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253"/>
    </row>
    <row r="43" spans="1:38" s="5" customFormat="1" ht="31.5">
      <c r="A43" s="239" t="str">
        <f>1!A43</f>
        <v>1.2</v>
      </c>
      <c r="B43" s="351" t="str">
        <f>1!B43</f>
        <v>Реконструкция трансформаторных и иных подстанций, всего, в том числе:</v>
      </c>
      <c r="C43" s="142" t="str">
        <f>1!C43</f>
        <v>Г</v>
      </c>
      <c r="D43" s="141">
        <f aca="true" t="shared" si="9" ref="D43:AL43">SUM(D44:D45)</f>
        <v>0</v>
      </c>
      <c r="E43" s="141">
        <f t="shared" si="9"/>
        <v>0</v>
      </c>
      <c r="F43" s="141">
        <f t="shared" si="9"/>
        <v>0</v>
      </c>
      <c r="G43" s="141">
        <f t="shared" si="9"/>
        <v>0</v>
      </c>
      <c r="H43" s="141">
        <f t="shared" si="9"/>
        <v>0</v>
      </c>
      <c r="I43" s="141">
        <f t="shared" si="9"/>
        <v>0</v>
      </c>
      <c r="J43" s="141">
        <f t="shared" si="9"/>
        <v>0</v>
      </c>
      <c r="K43" s="141">
        <f t="shared" si="9"/>
        <v>0</v>
      </c>
      <c r="L43" s="141">
        <f t="shared" si="9"/>
        <v>0</v>
      </c>
      <c r="M43" s="141">
        <f t="shared" si="9"/>
        <v>0</v>
      </c>
      <c r="N43" s="141">
        <f t="shared" si="9"/>
        <v>0</v>
      </c>
      <c r="O43" s="141">
        <f t="shared" si="9"/>
        <v>0</v>
      </c>
      <c r="P43" s="141">
        <f t="shared" si="9"/>
        <v>0</v>
      </c>
      <c r="Q43" s="141">
        <f t="shared" si="9"/>
        <v>0</v>
      </c>
      <c r="R43" s="141">
        <f t="shared" si="9"/>
        <v>0</v>
      </c>
      <c r="S43" s="141">
        <f t="shared" si="9"/>
        <v>0</v>
      </c>
      <c r="T43" s="141">
        <f t="shared" si="9"/>
        <v>0</v>
      </c>
      <c r="U43" s="141">
        <f t="shared" si="9"/>
        <v>0</v>
      </c>
      <c r="V43" s="141">
        <f t="shared" si="9"/>
        <v>0</v>
      </c>
      <c r="W43" s="141">
        <f t="shared" si="9"/>
        <v>0</v>
      </c>
      <c r="X43" s="141">
        <f t="shared" si="9"/>
        <v>0</v>
      </c>
      <c r="Y43" s="141">
        <f t="shared" si="9"/>
        <v>0</v>
      </c>
      <c r="Z43" s="141">
        <f t="shared" si="9"/>
        <v>0.61</v>
      </c>
      <c r="AA43" s="141">
        <f t="shared" si="9"/>
        <v>0</v>
      </c>
      <c r="AB43" s="141">
        <f t="shared" si="9"/>
        <v>0</v>
      </c>
      <c r="AC43" s="141">
        <f t="shared" si="9"/>
        <v>0</v>
      </c>
      <c r="AD43" s="141">
        <f t="shared" si="9"/>
        <v>0</v>
      </c>
      <c r="AE43" s="141">
        <f t="shared" si="9"/>
        <v>0</v>
      </c>
      <c r="AF43" s="141">
        <f t="shared" si="9"/>
        <v>0</v>
      </c>
      <c r="AG43" s="141">
        <f t="shared" si="9"/>
        <v>0.61</v>
      </c>
      <c r="AH43" s="141">
        <f t="shared" si="9"/>
        <v>0</v>
      </c>
      <c r="AI43" s="141">
        <f t="shared" si="9"/>
        <v>0</v>
      </c>
      <c r="AJ43" s="141">
        <f t="shared" si="9"/>
        <v>0</v>
      </c>
      <c r="AK43" s="141">
        <f t="shared" si="9"/>
        <v>0</v>
      </c>
      <c r="AL43" s="228">
        <f t="shared" si="9"/>
        <v>0</v>
      </c>
    </row>
    <row r="44" spans="1:38" s="2" customFormat="1" ht="50.25" customHeight="1">
      <c r="A44" s="238" t="str">
        <f>1!A44</f>
        <v>1.2</v>
      </c>
      <c r="B44" s="170" t="str">
        <f>1!B44</f>
        <v>Реконструкция в ТП-187  (и/н 0001379) (камера сборная серии КСО-393-13-400 - 1 шт. и камера сборная серии КСО-393-01 - 1шт.)</v>
      </c>
      <c r="C44" s="405" t="str">
        <f>1!C44</f>
        <v>G_Gelezno_010</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f>4!D46</f>
        <v>0.61</v>
      </c>
      <c r="AA44" s="127"/>
      <c r="AB44" s="127"/>
      <c r="AC44" s="127"/>
      <c r="AD44" s="127"/>
      <c r="AE44" s="127"/>
      <c r="AF44" s="127"/>
      <c r="AG44" s="127">
        <f t="shared" si="7"/>
        <v>0.61</v>
      </c>
      <c r="AH44" s="127"/>
      <c r="AI44" s="127"/>
      <c r="AJ44" s="127"/>
      <c r="AK44" s="127"/>
      <c r="AL44" s="253"/>
    </row>
    <row r="45" spans="1:38" s="2" customFormat="1" ht="6.75" customHeight="1">
      <c r="A45" s="238"/>
      <c r="B45" s="125"/>
      <c r="C45" s="92"/>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253"/>
    </row>
    <row r="46" spans="1:38" s="5" customFormat="1" ht="31.5">
      <c r="A46" s="239" t="str">
        <f>1!A46</f>
        <v>1.3</v>
      </c>
      <c r="B46" s="351" t="str">
        <f>1!B46</f>
        <v>Прочие инвестиционные проекты, всего, в том числе:</v>
      </c>
      <c r="C46" s="142" t="str">
        <f>1!C46</f>
        <v>Г</v>
      </c>
      <c r="D46" s="141">
        <f aca="true" t="shared" si="10" ref="D46:AL46">SUM(D47:D49)</f>
        <v>0</v>
      </c>
      <c r="E46" s="141">
        <f t="shared" si="10"/>
        <v>0</v>
      </c>
      <c r="F46" s="141">
        <f t="shared" si="10"/>
        <v>0</v>
      </c>
      <c r="G46" s="141">
        <f t="shared" si="10"/>
        <v>0</v>
      </c>
      <c r="H46" s="141">
        <f t="shared" si="10"/>
        <v>0</v>
      </c>
      <c r="I46" s="141">
        <f t="shared" si="10"/>
        <v>0</v>
      </c>
      <c r="J46" s="141">
        <f t="shared" si="10"/>
        <v>0</v>
      </c>
      <c r="K46" s="141">
        <f t="shared" si="10"/>
        <v>0</v>
      </c>
      <c r="L46" s="141">
        <f t="shared" si="10"/>
        <v>0</v>
      </c>
      <c r="M46" s="141">
        <f t="shared" si="10"/>
        <v>0</v>
      </c>
      <c r="N46" s="141">
        <f t="shared" si="10"/>
        <v>0</v>
      </c>
      <c r="O46" s="141">
        <f t="shared" si="10"/>
        <v>0</v>
      </c>
      <c r="P46" s="141">
        <f t="shared" si="10"/>
        <v>0</v>
      </c>
      <c r="Q46" s="141">
        <f t="shared" si="10"/>
        <v>0</v>
      </c>
      <c r="R46" s="141">
        <f t="shared" si="10"/>
        <v>0</v>
      </c>
      <c r="S46" s="141">
        <f t="shared" si="10"/>
        <v>0</v>
      </c>
      <c r="T46" s="141">
        <f t="shared" si="10"/>
        <v>0</v>
      </c>
      <c r="U46" s="141">
        <f t="shared" si="10"/>
        <v>0</v>
      </c>
      <c r="V46" s="141">
        <f t="shared" si="10"/>
        <v>0</v>
      </c>
      <c r="W46" s="141">
        <f t="shared" si="10"/>
        <v>0</v>
      </c>
      <c r="X46" s="141">
        <f t="shared" si="10"/>
        <v>0</v>
      </c>
      <c r="Y46" s="141">
        <f t="shared" si="10"/>
        <v>0</v>
      </c>
      <c r="Z46" s="141">
        <f t="shared" si="10"/>
        <v>2.5165542372881355</v>
      </c>
      <c r="AA46" s="141">
        <f t="shared" si="10"/>
        <v>0</v>
      </c>
      <c r="AB46" s="141">
        <f t="shared" si="10"/>
        <v>0</v>
      </c>
      <c r="AC46" s="141">
        <f t="shared" si="10"/>
        <v>0</v>
      </c>
      <c r="AD46" s="141">
        <f t="shared" si="10"/>
        <v>0</v>
      </c>
      <c r="AE46" s="141">
        <f t="shared" si="10"/>
        <v>0</v>
      </c>
      <c r="AF46" s="141">
        <f t="shared" si="10"/>
        <v>0</v>
      </c>
      <c r="AG46" s="141">
        <f t="shared" si="10"/>
        <v>2.5165542372881355</v>
      </c>
      <c r="AH46" s="141">
        <f t="shared" si="10"/>
        <v>0</v>
      </c>
      <c r="AI46" s="141">
        <f t="shared" si="10"/>
        <v>0</v>
      </c>
      <c r="AJ46" s="141">
        <f t="shared" si="10"/>
        <v>0</v>
      </c>
      <c r="AK46" s="141">
        <f t="shared" si="10"/>
        <v>0</v>
      </c>
      <c r="AL46" s="228">
        <f t="shared" si="10"/>
        <v>0</v>
      </c>
    </row>
    <row r="47" spans="1:38" s="2" customFormat="1" ht="31.5">
      <c r="A47" s="238" t="str">
        <f>1!A47</f>
        <v>1.3</v>
      </c>
      <c r="B47" s="170" t="str">
        <f>1!B47</f>
        <v>Внутренний контур системы коммерческого учёта АСКУЭ   в   ТП-40; 15; 185; 28; 9  и  РП-3; 4; 5; 6.</v>
      </c>
      <c r="C47" s="405" t="str">
        <f>1!C47</f>
        <v>G_Gelezno_011</v>
      </c>
      <c r="D47" s="127"/>
      <c r="E47" s="127"/>
      <c r="F47" s="127"/>
      <c r="G47" s="127"/>
      <c r="H47" s="127"/>
      <c r="I47" s="127"/>
      <c r="J47" s="127"/>
      <c r="K47" s="127"/>
      <c r="L47" s="127"/>
      <c r="M47" s="127"/>
      <c r="N47" s="127"/>
      <c r="O47" s="127"/>
      <c r="P47" s="127"/>
      <c r="Q47" s="127"/>
      <c r="R47" s="127"/>
      <c r="S47" s="127"/>
      <c r="T47" s="127"/>
      <c r="U47" s="127"/>
      <c r="V47" s="127"/>
      <c r="W47" s="127"/>
      <c r="X47" s="127"/>
      <c r="Y47" s="127"/>
      <c r="Z47" s="404">
        <f>4!D49</f>
        <v>1.1013</v>
      </c>
      <c r="AA47" s="127"/>
      <c r="AB47" s="127"/>
      <c r="AC47" s="127"/>
      <c r="AD47" s="127"/>
      <c r="AE47" s="127"/>
      <c r="AF47" s="127"/>
      <c r="AG47" s="127">
        <f>E47+L47+S47+Z47</f>
        <v>1.1013</v>
      </c>
      <c r="AH47" s="127"/>
      <c r="AI47" s="127"/>
      <c r="AJ47" s="127"/>
      <c r="AK47" s="127"/>
      <c r="AL47" s="253"/>
    </row>
    <row r="48" spans="1:38" s="2" customFormat="1" ht="15.75">
      <c r="A48" s="238" t="str">
        <f>1!A48</f>
        <v>1.3</v>
      </c>
      <c r="B48" s="125" t="str">
        <f>1!B48</f>
        <v>Оборудование, не требующее монтажа</v>
      </c>
      <c r="C48" s="405" t="str">
        <f>1!C48</f>
        <v>G_Gelezno_012</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f>4!D50</f>
        <v>1.4152542372881356</v>
      </c>
      <c r="AA48" s="127"/>
      <c r="AB48" s="127"/>
      <c r="AC48" s="127"/>
      <c r="AD48" s="127"/>
      <c r="AE48" s="127"/>
      <c r="AF48" s="127"/>
      <c r="AG48" s="127">
        <f>E48+L48+S48+Z48</f>
        <v>1.4152542372881356</v>
      </c>
      <c r="AH48" s="127"/>
      <c r="AI48" s="127"/>
      <c r="AJ48" s="127"/>
      <c r="AK48" s="127"/>
      <c r="AL48" s="253"/>
    </row>
    <row r="49" spans="1:38" s="2" customFormat="1" ht="9" customHeight="1">
      <c r="A49" s="238"/>
      <c r="B49" s="125"/>
      <c r="C49" s="92"/>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253"/>
    </row>
    <row r="50" spans="1:38" s="5" customFormat="1" ht="15.75">
      <c r="A50" s="239" t="str">
        <f>1!A50</f>
        <v>1.4</v>
      </c>
      <c r="B50" s="351" t="str">
        <f>1!B50</f>
        <v>Новое строительство, всего, в том числе:</v>
      </c>
      <c r="C50" s="142" t="str">
        <f>1!C50</f>
        <v>Г</v>
      </c>
      <c r="D50" s="141">
        <f>SUM(D51:D98)</f>
        <v>0</v>
      </c>
      <c r="E50" s="141">
        <f>E51+E53</f>
        <v>0.47768923</v>
      </c>
      <c r="F50" s="141">
        <f>SUM(F51:F98)</f>
        <v>0</v>
      </c>
      <c r="G50" s="141">
        <f>SUM(G51:G98)</f>
        <v>0</v>
      </c>
      <c r="H50" s="141">
        <f>H51+H53</f>
        <v>0.521</v>
      </c>
      <c r="I50" s="141">
        <f aca="true" t="shared" si="11" ref="I50:Y50">SUM(I51:I98)</f>
        <v>0</v>
      </c>
      <c r="J50" s="141">
        <f t="shared" si="11"/>
        <v>0</v>
      </c>
      <c r="K50" s="141">
        <f t="shared" si="11"/>
        <v>0</v>
      </c>
      <c r="L50" s="141">
        <f>L51+L53</f>
        <v>3.19216116</v>
      </c>
      <c r="M50" s="141">
        <f>M51+M53</f>
        <v>0.25</v>
      </c>
      <c r="N50" s="141">
        <f t="shared" si="11"/>
        <v>0</v>
      </c>
      <c r="O50" s="141">
        <f>O51+O53</f>
        <v>1.15</v>
      </c>
      <c r="P50" s="141">
        <f t="shared" si="11"/>
        <v>0</v>
      </c>
      <c r="Q50" s="141">
        <f t="shared" si="11"/>
        <v>0</v>
      </c>
      <c r="R50" s="141">
        <f t="shared" si="11"/>
        <v>0</v>
      </c>
      <c r="S50" s="141">
        <f>S51+S53</f>
        <v>3.21335747</v>
      </c>
      <c r="T50" s="141">
        <f>T51+T53</f>
        <v>0.25</v>
      </c>
      <c r="U50" s="141">
        <f t="shared" si="11"/>
        <v>0</v>
      </c>
      <c r="V50" s="141">
        <f>V51+V53</f>
        <v>0.89</v>
      </c>
      <c r="W50" s="141">
        <f t="shared" si="11"/>
        <v>0</v>
      </c>
      <c r="X50" s="141">
        <f t="shared" si="11"/>
        <v>0</v>
      </c>
      <c r="Y50" s="141">
        <f t="shared" si="11"/>
        <v>0</v>
      </c>
      <c r="Z50" s="141">
        <f>Z51+Z53</f>
        <v>10.467226989152541</v>
      </c>
      <c r="AA50" s="141">
        <f>AA51+AA53</f>
        <v>0.88</v>
      </c>
      <c r="AB50" s="141">
        <f>SUM(AB51:AB98)</f>
        <v>0</v>
      </c>
      <c r="AC50" s="141">
        <f>AC51+AC53</f>
        <v>5.311000000000001</v>
      </c>
      <c r="AD50" s="141">
        <f>SUM(AD51:AD98)</f>
        <v>0</v>
      </c>
      <c r="AE50" s="141">
        <f>SUM(AE51:AE98)</f>
        <v>0</v>
      </c>
      <c r="AF50" s="141">
        <f>SUM(AF51:AF98)</f>
        <v>0</v>
      </c>
      <c r="AG50" s="141">
        <f>AG51+AG53</f>
        <v>17.350434849152542</v>
      </c>
      <c r="AH50" s="141">
        <f>AH51+AH53</f>
        <v>1.38</v>
      </c>
      <c r="AI50" s="141">
        <f>SUM(AI51:AI98)</f>
        <v>0</v>
      </c>
      <c r="AJ50" s="141">
        <f>AJ51+AJ53</f>
        <v>7.872</v>
      </c>
      <c r="AK50" s="141">
        <f>SUM(AK51:AK98)</f>
        <v>0</v>
      </c>
      <c r="AL50" s="228">
        <f>SUM(AL51:AL98)</f>
        <v>0</v>
      </c>
    </row>
    <row r="51" spans="1:38" s="2" customFormat="1" ht="31.5">
      <c r="A51" s="239" t="str">
        <f>1!A51</f>
        <v>1.4.1</v>
      </c>
      <c r="B51" s="351" t="str">
        <f>1!B51</f>
        <v>Прочее новое строительство объектов электросетевого хозяйства</v>
      </c>
      <c r="C51" s="125"/>
      <c r="D51" s="127"/>
      <c r="E51" s="127"/>
      <c r="F51" s="127"/>
      <c r="G51" s="127"/>
      <c r="H51" s="127"/>
      <c r="I51" s="127"/>
      <c r="J51" s="127"/>
      <c r="K51" s="127"/>
      <c r="L51" s="127"/>
      <c r="M51" s="127"/>
      <c r="N51" s="127"/>
      <c r="O51" s="127"/>
      <c r="P51" s="127"/>
      <c r="Q51" s="127"/>
      <c r="R51" s="127"/>
      <c r="S51" s="144">
        <f>S52</f>
        <v>1.50527848</v>
      </c>
      <c r="T51" s="127"/>
      <c r="U51" s="127"/>
      <c r="V51" s="144">
        <f>V52</f>
        <v>0.4</v>
      </c>
      <c r="W51" s="127"/>
      <c r="X51" s="127"/>
      <c r="Y51" s="127"/>
      <c r="Z51" s="144">
        <f>Z52</f>
        <v>4.784526469152542</v>
      </c>
      <c r="AA51" s="127"/>
      <c r="AB51" s="127"/>
      <c r="AC51" s="144">
        <f>AC52</f>
        <v>1.8440000000000003</v>
      </c>
      <c r="AD51" s="127"/>
      <c r="AE51" s="127"/>
      <c r="AF51" s="127"/>
      <c r="AG51" s="144">
        <f>AG52</f>
        <v>6.2898049491525425</v>
      </c>
      <c r="AH51" s="127"/>
      <c r="AI51" s="127"/>
      <c r="AJ51" s="144">
        <f>AJ52</f>
        <v>2.244</v>
      </c>
      <c r="AK51" s="127"/>
      <c r="AL51" s="253"/>
    </row>
    <row r="52" spans="1:38" s="2" customFormat="1" ht="47.25">
      <c r="A52" s="238" t="str">
        <f>1!A52</f>
        <v>1.4.1.1</v>
      </c>
      <c r="B52" s="170" t="str">
        <f>1!B52</f>
        <v>Строительство КЛ-10 кВ, Ф-187(С-2) от ПС"Машук" до ТП-187, п.Иноземцево , L=2,244 км (ААБлУ 3х240)</v>
      </c>
      <c r="C52" s="405" t="str">
        <f>1!C52</f>
        <v>G_Gelezno_013</v>
      </c>
      <c r="D52" s="404"/>
      <c r="E52" s="404"/>
      <c r="F52" s="404"/>
      <c r="G52" s="404"/>
      <c r="H52" s="404"/>
      <c r="I52" s="404"/>
      <c r="J52" s="404"/>
      <c r="K52" s="404"/>
      <c r="L52" s="404"/>
      <c r="M52" s="404"/>
      <c r="N52" s="404"/>
      <c r="O52" s="404"/>
      <c r="P52" s="404"/>
      <c r="Q52" s="404"/>
      <c r="R52" s="404"/>
      <c r="S52" s="404">
        <f>1.50527848</f>
        <v>1.50527848</v>
      </c>
      <c r="T52" s="404"/>
      <c r="U52" s="404"/>
      <c r="V52" s="404">
        <v>0.4</v>
      </c>
      <c r="W52" s="404"/>
      <c r="X52" s="404"/>
      <c r="Y52" s="404"/>
      <c r="Z52" s="404">
        <f>4!D54-S52</f>
        <v>4.784526469152542</v>
      </c>
      <c r="AA52" s="404"/>
      <c r="AB52" s="404"/>
      <c r="AC52" s="404">
        <f>4!J54-V52</f>
        <v>1.8440000000000003</v>
      </c>
      <c r="AD52" s="404"/>
      <c r="AE52" s="404"/>
      <c r="AF52" s="404"/>
      <c r="AG52" s="127">
        <f>E52+L52+S52+Z52</f>
        <v>6.2898049491525425</v>
      </c>
      <c r="AH52" s="404"/>
      <c r="AI52" s="404"/>
      <c r="AJ52" s="127">
        <f>H52+O52+V52+AC52</f>
        <v>2.244</v>
      </c>
      <c r="AK52" s="404"/>
      <c r="AL52" s="406"/>
    </row>
    <row r="53" spans="1:38" s="2" customFormat="1" ht="31.5">
      <c r="A53" s="239" t="str">
        <f>1!A53</f>
        <v>1.4.2</v>
      </c>
      <c r="B53" s="351" t="str">
        <f>1!B53</f>
        <v>Прочее новое строительство, в счёт тех.присоединений</v>
      </c>
      <c r="C53" s="394"/>
      <c r="D53" s="404"/>
      <c r="E53" s="141">
        <f>SUM(E54:E91)</f>
        <v>0.47768923</v>
      </c>
      <c r="F53" s="404"/>
      <c r="G53" s="404"/>
      <c r="H53" s="141">
        <f>SUM(H54:H91)</f>
        <v>0.521</v>
      </c>
      <c r="I53" s="404"/>
      <c r="J53" s="404"/>
      <c r="K53" s="404"/>
      <c r="L53" s="141">
        <f>SUM(L54:L91)</f>
        <v>3.19216116</v>
      </c>
      <c r="M53" s="141">
        <f>SUM(M54:M91)</f>
        <v>0.25</v>
      </c>
      <c r="N53" s="404"/>
      <c r="O53" s="141">
        <f>SUM(O54:O91)</f>
        <v>1.15</v>
      </c>
      <c r="P53" s="404"/>
      <c r="Q53" s="404"/>
      <c r="R53" s="404"/>
      <c r="S53" s="141">
        <f>SUM(S54:S91)</f>
        <v>1.70807899</v>
      </c>
      <c r="T53" s="141">
        <f>SUM(T54:T91)</f>
        <v>0.25</v>
      </c>
      <c r="U53" s="404"/>
      <c r="V53" s="141">
        <f>SUM(V54:V91)</f>
        <v>0.49</v>
      </c>
      <c r="W53" s="404"/>
      <c r="X53" s="404"/>
      <c r="Y53" s="404"/>
      <c r="Z53" s="141">
        <f>SUM(Z54:Z91)</f>
        <v>5.682700519999999</v>
      </c>
      <c r="AA53" s="141">
        <f>SUM(AA54:AA91)</f>
        <v>0.88</v>
      </c>
      <c r="AB53" s="404"/>
      <c r="AC53" s="141">
        <f>SUM(AC54:AC91)</f>
        <v>3.4670000000000005</v>
      </c>
      <c r="AD53" s="404"/>
      <c r="AE53" s="404"/>
      <c r="AF53" s="404"/>
      <c r="AG53" s="141">
        <f>SUM(AG54:AG91)</f>
        <v>11.0606299</v>
      </c>
      <c r="AH53" s="141">
        <f>SUM(AH54:AH91)</f>
        <v>1.38</v>
      </c>
      <c r="AI53" s="404"/>
      <c r="AJ53" s="141">
        <f>SUM(AJ54:AJ91)</f>
        <v>5.628</v>
      </c>
      <c r="AK53" s="404"/>
      <c r="AL53" s="406"/>
    </row>
    <row r="54" spans="1:38" s="2" customFormat="1" ht="47.25">
      <c r="A54" s="238" t="str">
        <f>1!A54</f>
        <v>1.4.2.1</v>
      </c>
      <c r="B54" s="170" t="str">
        <f>1!B54</f>
        <v>Строительство ВЛ-0,4 кВ от РУ-0,4 кВ ТП-185 до ВРУ офисного здания ул.Пушкина,2А, п.Иноземцево, L=0,235 км (СИП-2 3х50+1х54)</v>
      </c>
      <c r="C54" s="507" t="str">
        <f>1!C54</f>
        <v>G_Gelezno_ТР1</v>
      </c>
      <c r="D54" s="404"/>
      <c r="E54" s="404">
        <f>4!D56</f>
        <v>0.16058668</v>
      </c>
      <c r="F54" s="404"/>
      <c r="G54" s="404"/>
      <c r="H54" s="404">
        <f>4!J56</f>
        <v>0.235</v>
      </c>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127">
        <f>E54+L54+S54+Z54</f>
        <v>0.16058668</v>
      </c>
      <c r="AH54" s="404"/>
      <c r="AI54" s="404"/>
      <c r="AJ54" s="127">
        <f>H54+O54+V54+AC54</f>
        <v>0.235</v>
      </c>
      <c r="AK54" s="404"/>
      <c r="AL54" s="406"/>
    </row>
    <row r="55" spans="1:38" s="2" customFormat="1" ht="63">
      <c r="A55" s="238" t="str">
        <f>1!A55</f>
        <v>1.4.2.2</v>
      </c>
      <c r="B55" s="170" t="str">
        <f>1!B55</f>
        <v>Строительство КЛ-0,4 кВ от РУ-0,4 кВ ТП-18 (С1) до ВРУ МКЖД ул.Косякина (район дома № 49), г.Железноводск, (Линия 1), L=0,143 км (ААБл 4х120)</v>
      </c>
      <c r="C55" s="507" t="str">
        <f>1!C55</f>
        <v>G_Gelezno_ТР2</v>
      </c>
      <c r="D55" s="404"/>
      <c r="E55" s="404">
        <f>4!D57</f>
        <v>0.16769563</v>
      </c>
      <c r="F55" s="404"/>
      <c r="G55" s="404"/>
      <c r="H55" s="404">
        <f>4!J57</f>
        <v>0.143</v>
      </c>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127">
        <f>E55+L55+S55+Z55</f>
        <v>0.16769563</v>
      </c>
      <c r="AH55" s="404"/>
      <c r="AI55" s="404"/>
      <c r="AJ55" s="127">
        <f aca="true" t="shared" si="12" ref="AJ55:AJ89">H55+O55+V55+AC55</f>
        <v>0.143</v>
      </c>
      <c r="AK55" s="404"/>
      <c r="AL55" s="406"/>
    </row>
    <row r="56" spans="1:38" s="2" customFormat="1" ht="63">
      <c r="A56" s="238" t="str">
        <f>1!A56</f>
        <v>1.4.2.3</v>
      </c>
      <c r="B56" s="170" t="str">
        <f>1!B56</f>
        <v>Строительство КЛ-0,4 кВ от РУ-0,4 кВ ТП-18 (С2) до ВРУ МКЖД ул.Косякина (район дома № 49), г.Железноводск, (Линия 2), L=0,143 км (ААБл 4х120)</v>
      </c>
      <c r="C56" s="507" t="str">
        <f>1!C56</f>
        <v>G_Gelezno_ТР3</v>
      </c>
      <c r="D56" s="404"/>
      <c r="E56" s="404">
        <f>4!D58</f>
        <v>0.14940692</v>
      </c>
      <c r="F56" s="404"/>
      <c r="G56" s="404"/>
      <c r="H56" s="404">
        <f>4!J58</f>
        <v>0.143</v>
      </c>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127">
        <f aca="true" t="shared" si="13" ref="AG56:AG90">E56+L56+S56+Z56</f>
        <v>0.14940692</v>
      </c>
      <c r="AH56" s="404"/>
      <c r="AI56" s="404"/>
      <c r="AJ56" s="127">
        <f t="shared" si="12"/>
        <v>0.143</v>
      </c>
      <c r="AK56" s="404"/>
      <c r="AL56" s="406"/>
    </row>
    <row r="57" spans="1:38" s="2" customFormat="1" ht="31.5">
      <c r="A57" s="238" t="str">
        <f>1!A57</f>
        <v>1.4.2.4</v>
      </c>
      <c r="B57" s="170" t="str">
        <f>1!B57</f>
        <v>Строительство КТП-247 в районе озера "Карас", п.Иноземцево (250 кВА)</v>
      </c>
      <c r="C57" s="507" t="str">
        <f>1!C57</f>
        <v>G_Gelezno_ТР4</v>
      </c>
      <c r="D57" s="404"/>
      <c r="E57" s="404"/>
      <c r="F57" s="404"/>
      <c r="G57" s="404"/>
      <c r="H57" s="404"/>
      <c r="I57" s="404"/>
      <c r="J57" s="404"/>
      <c r="K57" s="404"/>
      <c r="L57" s="404">
        <f>4!D59</f>
        <v>0.82485979</v>
      </c>
      <c r="M57" s="404">
        <f>4!H59</f>
        <v>0.25</v>
      </c>
      <c r="N57" s="404"/>
      <c r="O57" s="404"/>
      <c r="P57" s="404"/>
      <c r="Q57" s="404"/>
      <c r="R57" s="404"/>
      <c r="S57" s="404"/>
      <c r="T57" s="404"/>
      <c r="U57" s="404"/>
      <c r="V57" s="404"/>
      <c r="W57" s="404"/>
      <c r="X57" s="404"/>
      <c r="Y57" s="404"/>
      <c r="Z57" s="404"/>
      <c r="AA57" s="404"/>
      <c r="AB57" s="404"/>
      <c r="AC57" s="404"/>
      <c r="AD57" s="404"/>
      <c r="AE57" s="404"/>
      <c r="AF57" s="404"/>
      <c r="AG57" s="127">
        <f t="shared" si="13"/>
        <v>0.82485979</v>
      </c>
      <c r="AH57" s="404">
        <f>M57</f>
        <v>0.25</v>
      </c>
      <c r="AI57" s="404"/>
      <c r="AJ57" s="127"/>
      <c r="AK57" s="404"/>
      <c r="AL57" s="406"/>
    </row>
    <row r="58" spans="1:38" s="2" customFormat="1" ht="63">
      <c r="A58" s="238" t="str">
        <f>1!A58</f>
        <v>1.4.2.5</v>
      </c>
      <c r="B58" s="170"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58" s="507" t="str">
        <f>1!C58</f>
        <v>G_Gelezno_ТР5</v>
      </c>
      <c r="D58" s="404"/>
      <c r="E58" s="404"/>
      <c r="F58" s="404"/>
      <c r="G58" s="404"/>
      <c r="H58" s="404"/>
      <c r="I58" s="404"/>
      <c r="J58" s="404"/>
      <c r="K58" s="404"/>
      <c r="L58" s="404">
        <f>4!D60</f>
        <v>0.08466576</v>
      </c>
      <c r="M58" s="404"/>
      <c r="N58" s="404"/>
      <c r="O58" s="404">
        <f>4!J60</f>
        <v>0.11</v>
      </c>
      <c r="P58" s="404"/>
      <c r="Q58" s="404"/>
      <c r="R58" s="404"/>
      <c r="S58" s="404"/>
      <c r="T58" s="404"/>
      <c r="U58" s="404"/>
      <c r="V58" s="404"/>
      <c r="W58" s="404"/>
      <c r="X58" s="404"/>
      <c r="Y58" s="404"/>
      <c r="Z58" s="404"/>
      <c r="AA58" s="404"/>
      <c r="AB58" s="404"/>
      <c r="AC58" s="404"/>
      <c r="AD58" s="404"/>
      <c r="AE58" s="404"/>
      <c r="AF58" s="404"/>
      <c r="AG58" s="127">
        <f t="shared" si="13"/>
        <v>0.08466576</v>
      </c>
      <c r="AH58" s="404"/>
      <c r="AI58" s="404"/>
      <c r="AJ58" s="127">
        <f t="shared" si="12"/>
        <v>0.11</v>
      </c>
      <c r="AK58" s="404"/>
      <c r="AL58" s="406"/>
    </row>
    <row r="59" spans="1:38" s="2" customFormat="1" ht="31.5">
      <c r="A59" s="238" t="str">
        <f>1!A59</f>
        <v>1.4.2.6</v>
      </c>
      <c r="B59" s="170" t="str">
        <f>1!B59</f>
        <v>Строительство КЛ-10 кВ от РУ-10 кВ КТП-224 до КТП-247, п.Иноземцево, L=0,918 км (АСБ 3х120)</v>
      </c>
      <c r="C59" s="507" t="str">
        <f>1!C59</f>
        <v>G_Gelezno_ТР6</v>
      </c>
      <c r="D59" s="404"/>
      <c r="E59" s="404"/>
      <c r="F59" s="404"/>
      <c r="G59" s="404"/>
      <c r="H59" s="404"/>
      <c r="I59" s="404"/>
      <c r="J59" s="404"/>
      <c r="K59" s="404"/>
      <c r="L59" s="404">
        <f>4!D61</f>
        <v>2.03071381</v>
      </c>
      <c r="M59" s="404"/>
      <c r="N59" s="404"/>
      <c r="O59" s="404">
        <f>4!J61</f>
        <v>0.918</v>
      </c>
      <c r="P59" s="404"/>
      <c r="Q59" s="404"/>
      <c r="R59" s="404"/>
      <c r="S59" s="404"/>
      <c r="T59" s="404"/>
      <c r="U59" s="404"/>
      <c r="V59" s="404"/>
      <c r="W59" s="404"/>
      <c r="X59" s="404"/>
      <c r="Y59" s="404"/>
      <c r="Z59" s="404"/>
      <c r="AA59" s="404"/>
      <c r="AB59" s="404"/>
      <c r="AC59" s="404"/>
      <c r="AD59" s="404"/>
      <c r="AE59" s="404"/>
      <c r="AF59" s="404"/>
      <c r="AG59" s="127">
        <f t="shared" si="13"/>
        <v>2.03071381</v>
      </c>
      <c r="AH59" s="404"/>
      <c r="AI59" s="404"/>
      <c r="AJ59" s="127">
        <f t="shared" si="12"/>
        <v>0.918</v>
      </c>
      <c r="AK59" s="404"/>
      <c r="AL59" s="406"/>
    </row>
    <row r="60" spans="1:38" s="2" customFormat="1" ht="47.25">
      <c r="A60" s="238" t="str">
        <f>1!A60</f>
        <v>1.4.2.7</v>
      </c>
      <c r="B60" s="170" t="str">
        <f>1!B60</f>
        <v>Строительство КЛ-0,4 кВ от РУ-0,4 кВ ТП-50 (С-1) до ВРУ МКЖД по ул.Ленина,49(линия 1), г.Железноводск, L=0,061 км (АВБбШв 4х240)</v>
      </c>
      <c r="C60" s="507" t="str">
        <f>1!C60</f>
        <v>G_Gelezno_ТР7</v>
      </c>
      <c r="D60" s="404"/>
      <c r="E60" s="404"/>
      <c r="F60" s="404"/>
      <c r="G60" s="404"/>
      <c r="H60" s="404"/>
      <c r="I60" s="404"/>
      <c r="J60" s="404"/>
      <c r="K60" s="404"/>
      <c r="L60" s="404">
        <f>4!D62</f>
        <v>0.14089326</v>
      </c>
      <c r="M60" s="404"/>
      <c r="N60" s="404"/>
      <c r="O60" s="404">
        <f>4!J62</f>
        <v>0.061</v>
      </c>
      <c r="P60" s="404"/>
      <c r="Q60" s="404"/>
      <c r="R60" s="404"/>
      <c r="S60" s="404"/>
      <c r="T60" s="404"/>
      <c r="U60" s="404"/>
      <c r="V60" s="404"/>
      <c r="W60" s="404"/>
      <c r="X60" s="404"/>
      <c r="Y60" s="404"/>
      <c r="Z60" s="404"/>
      <c r="AA60" s="404"/>
      <c r="AB60" s="404"/>
      <c r="AC60" s="404"/>
      <c r="AD60" s="404"/>
      <c r="AE60" s="404"/>
      <c r="AF60" s="404"/>
      <c r="AG60" s="127">
        <f t="shared" si="13"/>
        <v>0.14089326</v>
      </c>
      <c r="AH60" s="404"/>
      <c r="AI60" s="404"/>
      <c r="AJ60" s="127">
        <f t="shared" si="12"/>
        <v>0.061</v>
      </c>
      <c r="AK60" s="404"/>
      <c r="AL60" s="406"/>
    </row>
    <row r="61" spans="1:38" s="2" customFormat="1" ht="47.25">
      <c r="A61" s="238" t="str">
        <f>1!A61</f>
        <v>1.4.2.8</v>
      </c>
      <c r="B61" s="170" t="str">
        <f>1!B61</f>
        <v>Строительство КЛ-0,4 кВ от РУ-0,4 кВ ТП-50(С-2) до ВРУ МКЖД по ул.Ленина,49(линия 2), г.Железноводск, L=0,061 км (АВБбШв 4х240)</v>
      </c>
      <c r="C61" s="507" t="str">
        <f>1!C61</f>
        <v>G_Gelezno_ТР8</v>
      </c>
      <c r="D61" s="404"/>
      <c r="E61" s="404"/>
      <c r="F61" s="404"/>
      <c r="G61" s="404"/>
      <c r="H61" s="404"/>
      <c r="I61" s="404"/>
      <c r="J61" s="404"/>
      <c r="K61" s="404"/>
      <c r="L61" s="404">
        <f>4!D63</f>
        <v>0.11102854</v>
      </c>
      <c r="M61" s="404"/>
      <c r="N61" s="404"/>
      <c r="O61" s="404">
        <f>4!J63</f>
        <v>0.061</v>
      </c>
      <c r="P61" s="404"/>
      <c r="Q61" s="404"/>
      <c r="R61" s="404"/>
      <c r="S61" s="404"/>
      <c r="T61" s="404"/>
      <c r="U61" s="404"/>
      <c r="V61" s="404"/>
      <c r="W61" s="404"/>
      <c r="X61" s="404"/>
      <c r="Y61" s="404"/>
      <c r="Z61" s="404"/>
      <c r="AA61" s="404"/>
      <c r="AB61" s="404"/>
      <c r="AC61" s="404"/>
      <c r="AD61" s="404"/>
      <c r="AE61" s="404"/>
      <c r="AF61" s="404"/>
      <c r="AG61" s="127">
        <f t="shared" si="13"/>
        <v>0.11102854</v>
      </c>
      <c r="AH61" s="404"/>
      <c r="AI61" s="404"/>
      <c r="AJ61" s="127">
        <f t="shared" si="12"/>
        <v>0.061</v>
      </c>
      <c r="AK61" s="404"/>
      <c r="AL61" s="406"/>
    </row>
    <row r="62" spans="1:38" s="2" customFormat="1" ht="31.5">
      <c r="A62" s="238" t="str">
        <f>1!A62</f>
        <v>1.4.2.9</v>
      </c>
      <c r="B62" s="170" t="str">
        <f>1!B62</f>
        <v>Строительство КТП-105 ул.Октябрьская, 96 Б, п.Иноземцево (250 кВА)</v>
      </c>
      <c r="C62" s="507" t="str">
        <f>1!C62</f>
        <v>G_Gelezno_ТР9</v>
      </c>
      <c r="D62" s="404"/>
      <c r="E62" s="404"/>
      <c r="F62" s="404"/>
      <c r="G62" s="404"/>
      <c r="H62" s="404"/>
      <c r="I62" s="404"/>
      <c r="J62" s="404"/>
      <c r="K62" s="404"/>
      <c r="L62" s="404"/>
      <c r="M62" s="404"/>
      <c r="N62" s="404"/>
      <c r="O62" s="404"/>
      <c r="P62" s="404"/>
      <c r="Q62" s="404"/>
      <c r="R62" s="404"/>
      <c r="S62" s="404">
        <f>4!D64</f>
        <v>1.04124993</v>
      </c>
      <c r="T62" s="404">
        <f>4!H64</f>
        <v>0.25</v>
      </c>
      <c r="U62" s="404"/>
      <c r="V62" s="404"/>
      <c r="W62" s="404"/>
      <c r="X62" s="404"/>
      <c r="Y62" s="404"/>
      <c r="Z62" s="404"/>
      <c r="AA62" s="404"/>
      <c r="AB62" s="404"/>
      <c r="AC62" s="404"/>
      <c r="AD62" s="404"/>
      <c r="AE62" s="404"/>
      <c r="AF62" s="404"/>
      <c r="AG62" s="127">
        <f t="shared" si="13"/>
        <v>1.04124993</v>
      </c>
      <c r="AH62" s="404">
        <f>T62</f>
        <v>0.25</v>
      </c>
      <c r="AI62" s="404"/>
      <c r="AJ62" s="127"/>
      <c r="AK62" s="404"/>
      <c r="AL62" s="406"/>
    </row>
    <row r="63" spans="1:38" s="2" customFormat="1" ht="63">
      <c r="A63" s="238" t="str">
        <f>1!A63</f>
        <v>1.4.2.10</v>
      </c>
      <c r="B63" s="170" t="str">
        <f>1!B63</f>
        <v>Строительство КЛ-0,4 кВ от РП-2 (С-1) до ВРУ тренировочной площадки стадииона "Спартак" ул.Калинина,3 (линия 1), г.Железноводск, L= 0,245 км (АВБбШв 4х240)</v>
      </c>
      <c r="C63" s="507" t="str">
        <f>1!C63</f>
        <v>G_Gelezno_ТР10</v>
      </c>
      <c r="D63" s="404"/>
      <c r="E63" s="404"/>
      <c r="F63" s="404"/>
      <c r="G63" s="404"/>
      <c r="H63" s="404"/>
      <c r="I63" s="404"/>
      <c r="J63" s="404"/>
      <c r="K63" s="404"/>
      <c r="L63" s="404"/>
      <c r="M63" s="404"/>
      <c r="N63" s="404"/>
      <c r="O63" s="404"/>
      <c r="P63" s="404"/>
      <c r="Q63" s="404"/>
      <c r="R63" s="404"/>
      <c r="S63" s="404">
        <f>4!D65</f>
        <v>0.38102926</v>
      </c>
      <c r="T63" s="404"/>
      <c r="U63" s="404"/>
      <c r="V63" s="404">
        <f>4!J65</f>
        <v>0.245</v>
      </c>
      <c r="W63" s="404"/>
      <c r="X63" s="404"/>
      <c r="Y63" s="404"/>
      <c r="Z63" s="404"/>
      <c r="AA63" s="404"/>
      <c r="AB63" s="404"/>
      <c r="AC63" s="404"/>
      <c r="AD63" s="404"/>
      <c r="AE63" s="404"/>
      <c r="AF63" s="404"/>
      <c r="AG63" s="127">
        <f t="shared" si="13"/>
        <v>0.38102926</v>
      </c>
      <c r="AH63" s="404"/>
      <c r="AI63" s="404"/>
      <c r="AJ63" s="127">
        <f t="shared" si="12"/>
        <v>0.245</v>
      </c>
      <c r="AK63" s="404"/>
      <c r="AL63" s="406"/>
    </row>
    <row r="64" spans="1:38" s="2" customFormat="1" ht="63">
      <c r="A64" s="238" t="str">
        <f>1!A64</f>
        <v>1.4.2.11</v>
      </c>
      <c r="B64" s="170" t="str">
        <f>1!B64</f>
        <v>Строительство КЛ-0,4 кВ от РП-2 (С-2) до ВРУ тренировочной площадки стадиона "Спартак" ул.Калинина,3 (линия 2), г.Железноводск, L= 0,245 км (АВБбШв 4х240)</v>
      </c>
      <c r="C64" s="507" t="str">
        <f>1!C64</f>
        <v>G_Gelezno_ТР11</v>
      </c>
      <c r="D64" s="404"/>
      <c r="E64" s="404"/>
      <c r="F64" s="404"/>
      <c r="G64" s="404"/>
      <c r="H64" s="404"/>
      <c r="I64" s="404"/>
      <c r="J64" s="404"/>
      <c r="K64" s="404"/>
      <c r="L64" s="404"/>
      <c r="M64" s="404"/>
      <c r="N64" s="404"/>
      <c r="O64" s="404"/>
      <c r="P64" s="404"/>
      <c r="Q64" s="404"/>
      <c r="R64" s="404"/>
      <c r="S64" s="404">
        <f>4!D66</f>
        <v>0.2857998</v>
      </c>
      <c r="T64" s="404"/>
      <c r="U64" s="404"/>
      <c r="V64" s="404">
        <f>4!J66</f>
        <v>0.245</v>
      </c>
      <c r="W64" s="404"/>
      <c r="X64" s="404"/>
      <c r="Y64" s="404"/>
      <c r="Z64" s="404"/>
      <c r="AA64" s="404"/>
      <c r="AB64" s="404"/>
      <c r="AC64" s="404"/>
      <c r="AD64" s="404"/>
      <c r="AE64" s="404"/>
      <c r="AF64" s="404"/>
      <c r="AG64" s="127">
        <f t="shared" si="13"/>
        <v>0.2857998</v>
      </c>
      <c r="AH64" s="404"/>
      <c r="AI64" s="404"/>
      <c r="AJ64" s="127">
        <f t="shared" si="12"/>
        <v>0.245</v>
      </c>
      <c r="AK64" s="404"/>
      <c r="AL64" s="406"/>
    </row>
    <row r="65" spans="1:38" s="2" customFormat="1" ht="31.5">
      <c r="A65" s="238" t="str">
        <f>1!A65</f>
        <v>1.4.2.12</v>
      </c>
      <c r="B65" s="170" t="str">
        <f>1!B65</f>
        <v>Строительство КТП-248 ул.Тихая,8, п.Иноземцево (ТМГ-250 кВА)</v>
      </c>
      <c r="C65" s="507" t="str">
        <f>1!C65</f>
        <v>G_Gelezno_ТР12</v>
      </c>
      <c r="D65" s="404"/>
      <c r="E65" s="404"/>
      <c r="F65" s="404"/>
      <c r="G65" s="404"/>
      <c r="H65" s="404"/>
      <c r="I65" s="404"/>
      <c r="J65" s="404"/>
      <c r="K65" s="404"/>
      <c r="L65" s="404"/>
      <c r="M65" s="404"/>
      <c r="N65" s="404"/>
      <c r="O65" s="404"/>
      <c r="P65" s="404"/>
      <c r="Q65" s="404"/>
      <c r="R65" s="404"/>
      <c r="S65" s="404"/>
      <c r="T65" s="404"/>
      <c r="U65" s="404"/>
      <c r="V65" s="404"/>
      <c r="W65" s="404"/>
      <c r="X65" s="404"/>
      <c r="Y65" s="404"/>
      <c r="Z65" s="404">
        <f>4!D67</f>
        <v>0.91319122</v>
      </c>
      <c r="AA65" s="404">
        <f>4!H67</f>
        <v>0.25</v>
      </c>
      <c r="AB65" s="404"/>
      <c r="AC65" s="404"/>
      <c r="AD65" s="404"/>
      <c r="AE65" s="404"/>
      <c r="AF65" s="404"/>
      <c r="AG65" s="127">
        <f t="shared" si="13"/>
        <v>0.91319122</v>
      </c>
      <c r="AH65" s="404">
        <f>AA65</f>
        <v>0.25</v>
      </c>
      <c r="AI65" s="404"/>
      <c r="AJ65" s="127"/>
      <c r="AK65" s="404"/>
      <c r="AL65" s="406"/>
    </row>
    <row r="66" spans="1:38" s="2" customFormat="1" ht="47.25">
      <c r="A66" s="238" t="str">
        <f>1!A66</f>
        <v>1.4.2.13</v>
      </c>
      <c r="B66" s="170" t="str">
        <f>1!B66</f>
        <v>Строительство ВЛ-0,4 кВ от КТП-233 до ВРУ магазина ул.Вокзальная, 46А, п.Иноземцево, L= 0,408 км (СИП-2 3х50+1х54,6)</v>
      </c>
      <c r="C66" s="507" t="str">
        <f>1!C66</f>
        <v>G_Gelezno_ТР13</v>
      </c>
      <c r="D66" s="404"/>
      <c r="E66" s="404"/>
      <c r="F66" s="404"/>
      <c r="G66" s="404"/>
      <c r="H66" s="404"/>
      <c r="I66" s="404"/>
      <c r="J66" s="404"/>
      <c r="K66" s="404"/>
      <c r="L66" s="404"/>
      <c r="M66" s="404"/>
      <c r="N66" s="404"/>
      <c r="O66" s="404"/>
      <c r="P66" s="404"/>
      <c r="Q66" s="404"/>
      <c r="R66" s="404"/>
      <c r="S66" s="404"/>
      <c r="T66" s="404"/>
      <c r="U66" s="404"/>
      <c r="V66" s="404"/>
      <c r="W66" s="404"/>
      <c r="X66" s="404"/>
      <c r="Y66" s="404"/>
      <c r="Z66" s="404">
        <f>4!D68</f>
        <v>0.17022139</v>
      </c>
      <c r="AA66" s="404"/>
      <c r="AB66" s="404"/>
      <c r="AC66" s="404">
        <f>4!J68</f>
        <v>0.408</v>
      </c>
      <c r="AD66" s="404"/>
      <c r="AE66" s="404"/>
      <c r="AF66" s="404"/>
      <c r="AG66" s="127">
        <f t="shared" si="13"/>
        <v>0.17022139</v>
      </c>
      <c r="AH66" s="404"/>
      <c r="AI66" s="404"/>
      <c r="AJ66" s="127">
        <f t="shared" si="12"/>
        <v>0.408</v>
      </c>
      <c r="AK66" s="404"/>
      <c r="AL66" s="406"/>
    </row>
    <row r="67" spans="1:38" s="2" customFormat="1" ht="47.25">
      <c r="A67" s="238" t="str">
        <f>1!A67</f>
        <v>1.4.2.14</v>
      </c>
      <c r="B67" s="170" t="str">
        <f>1!B67</f>
        <v>Строительство ВЛ-0,4 кВ от РУ-0,4кВ ТП-75 (С-1) по ул.Ленина район дома 123, г.Железноводск, L= 0,143 км (СИП-2 3х50+1х54,6)</v>
      </c>
      <c r="C67" s="507" t="str">
        <f>1!C67</f>
        <v>G_Gelezno_ТР14</v>
      </c>
      <c r="D67" s="404"/>
      <c r="E67" s="404"/>
      <c r="F67" s="404"/>
      <c r="G67" s="404"/>
      <c r="H67" s="404"/>
      <c r="I67" s="404"/>
      <c r="J67" s="404"/>
      <c r="K67" s="404"/>
      <c r="L67" s="404"/>
      <c r="M67" s="404"/>
      <c r="N67" s="404"/>
      <c r="O67" s="404"/>
      <c r="P67" s="404"/>
      <c r="Q67" s="404"/>
      <c r="R67" s="404"/>
      <c r="S67" s="404"/>
      <c r="T67" s="404"/>
      <c r="U67" s="404"/>
      <c r="V67" s="404"/>
      <c r="W67" s="404"/>
      <c r="X67" s="404"/>
      <c r="Y67" s="404"/>
      <c r="Z67" s="404">
        <f>4!D69</f>
        <v>0.09412468</v>
      </c>
      <c r="AA67" s="404"/>
      <c r="AB67" s="404"/>
      <c r="AC67" s="404">
        <f>4!J69</f>
        <v>0.143</v>
      </c>
      <c r="AD67" s="404"/>
      <c r="AE67" s="404"/>
      <c r="AF67" s="404"/>
      <c r="AG67" s="127">
        <f t="shared" si="13"/>
        <v>0.09412468</v>
      </c>
      <c r="AH67" s="404"/>
      <c r="AI67" s="404"/>
      <c r="AJ67" s="127">
        <f t="shared" si="12"/>
        <v>0.143</v>
      </c>
      <c r="AK67" s="404"/>
      <c r="AL67" s="406"/>
    </row>
    <row r="68" spans="1:38" s="2" customFormat="1" ht="47.25">
      <c r="A68" s="238" t="str">
        <f>1!A68</f>
        <v>1.4.2.15</v>
      </c>
      <c r="B68" s="170" t="str">
        <f>1!B68</f>
        <v>Строительство ВЛ-0,4кВ от РУ-0,4 кВ ТП-75 (С-2) по ул.Ленина район дома 123, г.Железноводск, L= 0,143 км (СИП-2 3х50+1х54,6)</v>
      </c>
      <c r="C68" s="507" t="str">
        <f>1!C68</f>
        <v>G_Gelezno_ТР15</v>
      </c>
      <c r="D68" s="404"/>
      <c r="E68" s="404"/>
      <c r="F68" s="404"/>
      <c r="G68" s="404"/>
      <c r="H68" s="404"/>
      <c r="I68" s="404"/>
      <c r="J68" s="404"/>
      <c r="K68" s="404"/>
      <c r="L68" s="404"/>
      <c r="M68" s="404"/>
      <c r="N68" s="404"/>
      <c r="O68" s="404"/>
      <c r="P68" s="404"/>
      <c r="Q68" s="404"/>
      <c r="R68" s="404"/>
      <c r="S68" s="404"/>
      <c r="T68" s="404"/>
      <c r="U68" s="404"/>
      <c r="V68" s="404"/>
      <c r="W68" s="404"/>
      <c r="X68" s="404"/>
      <c r="Y68" s="404"/>
      <c r="Z68" s="404">
        <f>4!D70</f>
        <v>0.07665076</v>
      </c>
      <c r="AA68" s="404"/>
      <c r="AB68" s="404"/>
      <c r="AC68" s="404">
        <f>4!J70</f>
        <v>0.143</v>
      </c>
      <c r="AD68" s="404"/>
      <c r="AE68" s="404"/>
      <c r="AF68" s="404"/>
      <c r="AG68" s="127">
        <f t="shared" si="13"/>
        <v>0.07665076</v>
      </c>
      <c r="AH68" s="404"/>
      <c r="AI68" s="404"/>
      <c r="AJ68" s="127">
        <f t="shared" si="12"/>
        <v>0.143</v>
      </c>
      <c r="AK68" s="404"/>
      <c r="AL68" s="406"/>
    </row>
    <row r="69" spans="1:38" s="2" customFormat="1" ht="47.25">
      <c r="A69" s="238" t="str">
        <f>1!A69</f>
        <v>1.4.2.16</v>
      </c>
      <c r="B69" s="170" t="str">
        <f>1!B69</f>
        <v>Строительство КЛ-0,4 кВ от ВРУ-1 до ВРУ-2 в ЖК "Вишнёвый сад" (2-ая очередь), п.Иноземцево, L= 0,04 км (АВБбШв 4х120)</v>
      </c>
      <c r="C69" s="507" t="str">
        <f>1!C69</f>
        <v>G_Gelezno_ТР16</v>
      </c>
      <c r="D69" s="404"/>
      <c r="E69" s="404"/>
      <c r="F69" s="404"/>
      <c r="G69" s="404"/>
      <c r="H69" s="404"/>
      <c r="I69" s="404"/>
      <c r="J69" s="404"/>
      <c r="K69" s="404"/>
      <c r="L69" s="404"/>
      <c r="M69" s="404"/>
      <c r="N69" s="404"/>
      <c r="O69" s="404"/>
      <c r="P69" s="404"/>
      <c r="Q69" s="404"/>
      <c r="R69" s="404"/>
      <c r="S69" s="404"/>
      <c r="T69" s="404"/>
      <c r="U69" s="404"/>
      <c r="V69" s="404"/>
      <c r="W69" s="404"/>
      <c r="X69" s="404"/>
      <c r="Y69" s="404"/>
      <c r="Z69" s="404">
        <f>4!D71</f>
        <v>0.05238506</v>
      </c>
      <c r="AA69" s="404"/>
      <c r="AB69" s="404"/>
      <c r="AC69" s="404">
        <f>4!J71</f>
        <v>0.04</v>
      </c>
      <c r="AD69" s="404"/>
      <c r="AE69" s="404"/>
      <c r="AF69" s="404"/>
      <c r="AG69" s="127">
        <f t="shared" si="13"/>
        <v>0.05238506</v>
      </c>
      <c r="AH69" s="404"/>
      <c r="AI69" s="404"/>
      <c r="AJ69" s="127">
        <f t="shared" si="12"/>
        <v>0.04</v>
      </c>
      <c r="AK69" s="404"/>
      <c r="AL69" s="406"/>
    </row>
    <row r="70" spans="1:38" s="2" customFormat="1" ht="47.25">
      <c r="A70" s="238" t="str">
        <f>1!A70</f>
        <v>1.4.2.17</v>
      </c>
      <c r="B70" s="170" t="str">
        <f>1!B70</f>
        <v>Строительство КЛ-0,4кВ от ВРУ-11 до ВРУ-12 в ЖК"Вишнёвый сад" (2-ая очередь), п.Иноземцево, L= 0,035 км (АВБбШв 4х95)</v>
      </c>
      <c r="C70" s="507" t="str">
        <f>1!C70</f>
        <v>G_Gelezno_ТР17</v>
      </c>
      <c r="D70" s="404"/>
      <c r="E70" s="404"/>
      <c r="F70" s="404"/>
      <c r="G70" s="404"/>
      <c r="H70" s="404"/>
      <c r="I70" s="404"/>
      <c r="J70" s="404"/>
      <c r="K70" s="404"/>
      <c r="L70" s="404"/>
      <c r="M70" s="404"/>
      <c r="N70" s="404"/>
      <c r="O70" s="404"/>
      <c r="P70" s="404"/>
      <c r="Q70" s="404"/>
      <c r="R70" s="404"/>
      <c r="S70" s="404"/>
      <c r="T70" s="404"/>
      <c r="U70" s="404"/>
      <c r="V70" s="404"/>
      <c r="W70" s="404"/>
      <c r="X70" s="404"/>
      <c r="Y70" s="404"/>
      <c r="Z70" s="404">
        <f>4!D72</f>
        <v>0.04696934</v>
      </c>
      <c r="AA70" s="404"/>
      <c r="AB70" s="404"/>
      <c r="AC70" s="404">
        <f>4!J72</f>
        <v>0.035</v>
      </c>
      <c r="AD70" s="404"/>
      <c r="AE70" s="404"/>
      <c r="AF70" s="404"/>
      <c r="AG70" s="127">
        <f t="shared" si="13"/>
        <v>0.04696934</v>
      </c>
      <c r="AH70" s="404"/>
      <c r="AI70" s="404"/>
      <c r="AJ70" s="127">
        <f t="shared" si="12"/>
        <v>0.035</v>
      </c>
      <c r="AK70" s="404"/>
      <c r="AL70" s="406"/>
    </row>
    <row r="71" spans="1:38" s="2" customFormat="1" ht="47.25">
      <c r="A71" s="238" t="str">
        <f>1!A71</f>
        <v>1.4.2.18</v>
      </c>
      <c r="B71" s="170" t="str">
        <f>1!B71</f>
        <v>Строительство КЛ-0,4кВ от ВРУ-13 до ВРУ-14 в ЖК"Вишнёвый сад" (2-ая очередь), п.Иноземцево, L= 0,035 км (АВБбШв 4х95)</v>
      </c>
      <c r="C71" s="507" t="str">
        <f>1!C71</f>
        <v>G_Gelezno_ТР18</v>
      </c>
      <c r="D71" s="404"/>
      <c r="E71" s="404"/>
      <c r="F71" s="404"/>
      <c r="G71" s="404"/>
      <c r="H71" s="404"/>
      <c r="I71" s="404"/>
      <c r="J71" s="404"/>
      <c r="K71" s="404"/>
      <c r="L71" s="404"/>
      <c r="M71" s="404"/>
      <c r="N71" s="404"/>
      <c r="O71" s="404"/>
      <c r="P71" s="404"/>
      <c r="Q71" s="404"/>
      <c r="R71" s="404"/>
      <c r="S71" s="404"/>
      <c r="T71" s="404"/>
      <c r="U71" s="404"/>
      <c r="V71" s="404"/>
      <c r="W71" s="404"/>
      <c r="X71" s="404"/>
      <c r="Y71" s="404"/>
      <c r="Z71" s="404">
        <f>4!D73</f>
        <v>0.04273267</v>
      </c>
      <c r="AA71" s="404"/>
      <c r="AB71" s="404"/>
      <c r="AC71" s="404">
        <f>4!J73</f>
        <v>0.035</v>
      </c>
      <c r="AD71" s="404"/>
      <c r="AE71" s="404"/>
      <c r="AF71" s="404"/>
      <c r="AG71" s="127">
        <f t="shared" si="13"/>
        <v>0.04273267</v>
      </c>
      <c r="AH71" s="404"/>
      <c r="AI71" s="404"/>
      <c r="AJ71" s="127">
        <f t="shared" si="12"/>
        <v>0.035</v>
      </c>
      <c r="AK71" s="404"/>
      <c r="AL71" s="406"/>
    </row>
    <row r="72" spans="1:38" s="2" customFormat="1" ht="47.25">
      <c r="A72" s="238" t="str">
        <f>1!A72</f>
        <v>1.4.2.19</v>
      </c>
      <c r="B72" s="170" t="str">
        <f>1!B72</f>
        <v>Строительство КЛ-0,4 кВ от ВРУ-9 до ВРУ-10 в ЖК "Вишнёвый сад" (2-ая очередь), п.Иноземцево, L= 0,035 км (АВБбШв 4х95)</v>
      </c>
      <c r="C72" s="507" t="str">
        <f>1!C72</f>
        <v>G_Gelezno_ТР19</v>
      </c>
      <c r="D72" s="404"/>
      <c r="E72" s="404"/>
      <c r="F72" s="404"/>
      <c r="G72" s="404"/>
      <c r="H72" s="404"/>
      <c r="I72" s="404"/>
      <c r="J72" s="404"/>
      <c r="K72" s="404"/>
      <c r="L72" s="404"/>
      <c r="M72" s="404"/>
      <c r="N72" s="404"/>
      <c r="O72" s="404"/>
      <c r="P72" s="404"/>
      <c r="Q72" s="404"/>
      <c r="R72" s="404"/>
      <c r="S72" s="404"/>
      <c r="T72" s="404"/>
      <c r="U72" s="404"/>
      <c r="V72" s="404"/>
      <c r="W72" s="404"/>
      <c r="X72" s="404"/>
      <c r="Y72" s="404"/>
      <c r="Z72" s="404">
        <f>4!D74</f>
        <v>0.04273267</v>
      </c>
      <c r="AA72" s="404"/>
      <c r="AB72" s="404"/>
      <c r="AC72" s="404">
        <f>4!J74</f>
        <v>0.035</v>
      </c>
      <c r="AD72" s="404"/>
      <c r="AE72" s="404"/>
      <c r="AF72" s="404"/>
      <c r="AG72" s="127">
        <f t="shared" si="13"/>
        <v>0.04273267</v>
      </c>
      <c r="AH72" s="404"/>
      <c r="AI72" s="404"/>
      <c r="AJ72" s="127">
        <f t="shared" si="12"/>
        <v>0.035</v>
      </c>
      <c r="AK72" s="404"/>
      <c r="AL72" s="406"/>
    </row>
    <row r="73" spans="1:38" s="2" customFormat="1" ht="47.25">
      <c r="A73" s="238" t="str">
        <f>1!A73</f>
        <v>1.4.2.20</v>
      </c>
      <c r="B73" s="170" t="str">
        <f>1!B73</f>
        <v>Строительство КЛ-0,4 кВ от РУ-0,4 кВ 2КТП-244 до ВРУ-10 в ЖК "Вишнёвый сад" (2-ая очередь), п.Иноземцево, L= 0,19 км (АВБбШв 4х120)</v>
      </c>
      <c r="C73" s="507" t="str">
        <f>1!C73</f>
        <v>G_Gelezno_ТР20</v>
      </c>
      <c r="D73" s="404"/>
      <c r="E73" s="404"/>
      <c r="F73" s="404"/>
      <c r="G73" s="404"/>
      <c r="H73" s="404"/>
      <c r="I73" s="404"/>
      <c r="J73" s="404"/>
      <c r="K73" s="404"/>
      <c r="L73" s="404"/>
      <c r="M73" s="404"/>
      <c r="N73" s="404"/>
      <c r="O73" s="404"/>
      <c r="P73" s="404"/>
      <c r="Q73" s="404"/>
      <c r="R73" s="404"/>
      <c r="S73" s="404"/>
      <c r="T73" s="404"/>
      <c r="U73" s="404"/>
      <c r="V73" s="404"/>
      <c r="W73" s="404"/>
      <c r="X73" s="404"/>
      <c r="Y73" s="404"/>
      <c r="Z73" s="404">
        <f>4!D75</f>
        <v>0.17617151</v>
      </c>
      <c r="AA73" s="404"/>
      <c r="AB73" s="404"/>
      <c r="AC73" s="404">
        <f>4!J75</f>
        <v>0.19</v>
      </c>
      <c r="AD73" s="404"/>
      <c r="AE73" s="404"/>
      <c r="AF73" s="404"/>
      <c r="AG73" s="127">
        <f t="shared" si="13"/>
        <v>0.17617151</v>
      </c>
      <c r="AH73" s="404"/>
      <c r="AI73" s="404"/>
      <c r="AJ73" s="127">
        <f t="shared" si="12"/>
        <v>0.19</v>
      </c>
      <c r="AK73" s="404"/>
      <c r="AL73" s="406"/>
    </row>
    <row r="74" spans="1:38" s="2" customFormat="1" ht="47.25">
      <c r="A74" s="238" t="str">
        <f>1!A74</f>
        <v>1.4.2.21</v>
      </c>
      <c r="B74" s="170" t="str">
        <f>1!B74</f>
        <v>Строительство КЛ-0,4 кВ от РУ-0,4 кВ 2КТП-244 до ВРУ-11 в ЖК "Вишнёвый сад" (2-ая очередь), п.Иноземцево, L= 0,14 км (АВБбШв 4х95)</v>
      </c>
      <c r="C74" s="507" t="str">
        <f>1!C74</f>
        <v>G_Gelezno_ТР21</v>
      </c>
      <c r="D74" s="404"/>
      <c r="E74" s="404"/>
      <c r="F74" s="404"/>
      <c r="G74" s="404"/>
      <c r="H74" s="404"/>
      <c r="I74" s="404"/>
      <c r="J74" s="404"/>
      <c r="K74" s="404"/>
      <c r="L74" s="404"/>
      <c r="M74" s="404"/>
      <c r="N74" s="404"/>
      <c r="O74" s="404"/>
      <c r="P74" s="404"/>
      <c r="Q74" s="404"/>
      <c r="R74" s="404"/>
      <c r="S74" s="404"/>
      <c r="T74" s="404"/>
      <c r="U74" s="404"/>
      <c r="V74" s="404"/>
      <c r="W74" s="404"/>
      <c r="X74" s="404"/>
      <c r="Y74" s="404"/>
      <c r="Z74" s="404">
        <f>4!D76</f>
        <v>0.13190507</v>
      </c>
      <c r="AA74" s="404"/>
      <c r="AB74" s="404"/>
      <c r="AC74" s="404">
        <f>4!J76</f>
        <v>0.14</v>
      </c>
      <c r="AD74" s="404"/>
      <c r="AE74" s="404"/>
      <c r="AF74" s="404"/>
      <c r="AG74" s="127">
        <f t="shared" si="13"/>
        <v>0.13190507</v>
      </c>
      <c r="AH74" s="404"/>
      <c r="AI74" s="404"/>
      <c r="AJ74" s="127">
        <f t="shared" si="12"/>
        <v>0.14</v>
      </c>
      <c r="AK74" s="404"/>
      <c r="AL74" s="406"/>
    </row>
    <row r="75" spans="1:38" s="2" customFormat="1" ht="47.25">
      <c r="A75" s="238" t="str">
        <f>1!A75</f>
        <v>1.4.2.22</v>
      </c>
      <c r="B75" s="170" t="str">
        <f>1!B75</f>
        <v>Строительство КЛ-0,4 кВ от РУ-0,4 кВ 2КТП-244 до ВРУ-13 в ЖК "Вишнёвый сад" (2-ая очередь), п.Иноземцево, L= 0,06 км (АВБбШв 4х120)</v>
      </c>
      <c r="C75" s="507" t="str">
        <f>1!C75</f>
        <v>G_Gelezno_ТР22</v>
      </c>
      <c r="D75" s="404"/>
      <c r="E75" s="404"/>
      <c r="F75" s="404"/>
      <c r="G75" s="404"/>
      <c r="H75" s="404"/>
      <c r="I75" s="404"/>
      <c r="J75" s="404"/>
      <c r="K75" s="404"/>
      <c r="L75" s="404"/>
      <c r="M75" s="404"/>
      <c r="N75" s="404"/>
      <c r="O75" s="404"/>
      <c r="P75" s="404"/>
      <c r="Q75" s="404"/>
      <c r="R75" s="404"/>
      <c r="S75" s="404"/>
      <c r="T75" s="404"/>
      <c r="U75" s="404"/>
      <c r="V75" s="404"/>
      <c r="W75" s="404"/>
      <c r="X75" s="404"/>
      <c r="Y75" s="404"/>
      <c r="Z75" s="404">
        <f>4!D77</f>
        <v>0.07768097</v>
      </c>
      <c r="AA75" s="404"/>
      <c r="AB75" s="404"/>
      <c r="AC75" s="404">
        <f>4!J77</f>
        <v>0.06</v>
      </c>
      <c r="AD75" s="404"/>
      <c r="AE75" s="404"/>
      <c r="AF75" s="404"/>
      <c r="AG75" s="127">
        <f t="shared" si="13"/>
        <v>0.07768097</v>
      </c>
      <c r="AH75" s="404"/>
      <c r="AI75" s="404"/>
      <c r="AJ75" s="127">
        <f t="shared" si="12"/>
        <v>0.06</v>
      </c>
      <c r="AK75" s="404"/>
      <c r="AL75" s="406"/>
    </row>
    <row r="76" spans="1:38" s="2" customFormat="1" ht="47.25">
      <c r="A76" s="238" t="str">
        <f>1!A76</f>
        <v>1.4.2.23</v>
      </c>
      <c r="B76" s="170" t="str">
        <f>1!B76</f>
        <v>Строительство КЛ-0,4 кВ от РУ-0,4 кВ 2КТП-244 до ВРУ-14 в ЖК "Вишнёвый сад" (2-ая очередь), п.Иноземцево, L= 0,1 км (АВБбШв 4х120)</v>
      </c>
      <c r="C76" s="507" t="str">
        <f>1!C76</f>
        <v>G_Gelezno_ТР23</v>
      </c>
      <c r="D76" s="404"/>
      <c r="E76" s="404"/>
      <c r="F76" s="404"/>
      <c r="G76" s="404"/>
      <c r="H76" s="404"/>
      <c r="I76" s="404"/>
      <c r="J76" s="404"/>
      <c r="K76" s="404"/>
      <c r="L76" s="404"/>
      <c r="M76" s="404"/>
      <c r="N76" s="404"/>
      <c r="O76" s="404"/>
      <c r="P76" s="404"/>
      <c r="Q76" s="404"/>
      <c r="R76" s="404"/>
      <c r="S76" s="404"/>
      <c r="T76" s="404"/>
      <c r="U76" s="404"/>
      <c r="V76" s="404"/>
      <c r="W76" s="404"/>
      <c r="X76" s="404"/>
      <c r="Y76" s="404"/>
      <c r="Z76" s="404">
        <f>4!D78</f>
        <v>0.10803812</v>
      </c>
      <c r="AA76" s="404"/>
      <c r="AB76" s="404"/>
      <c r="AC76" s="404">
        <f>4!J78</f>
        <v>0.1</v>
      </c>
      <c r="AD76" s="404"/>
      <c r="AE76" s="404"/>
      <c r="AF76" s="404"/>
      <c r="AG76" s="127">
        <f t="shared" si="13"/>
        <v>0.10803812</v>
      </c>
      <c r="AH76" s="404"/>
      <c r="AI76" s="404"/>
      <c r="AJ76" s="127">
        <f t="shared" si="12"/>
        <v>0.1</v>
      </c>
      <c r="AK76" s="404"/>
      <c r="AL76" s="406"/>
    </row>
    <row r="77" spans="1:38" s="2" customFormat="1" ht="47.25">
      <c r="A77" s="238" t="str">
        <f>1!A77</f>
        <v>1.4.2.24</v>
      </c>
      <c r="B77" s="170" t="str">
        <f>1!B77</f>
        <v>Строительство КЛ-0,4 кВ от РУ-0,4 кВ 2КТП-244 до ВРУ-16 в ЖК "Вишнёвый сад" (2-ая очередь), п.Иноземцево, L= 0,11 км (АВБбШв 4х95)</v>
      </c>
      <c r="C77" s="507" t="str">
        <f>1!C77</f>
        <v>G_Gelezno_ТР24</v>
      </c>
      <c r="D77" s="404"/>
      <c r="E77" s="404"/>
      <c r="F77" s="404"/>
      <c r="G77" s="404"/>
      <c r="H77" s="404"/>
      <c r="I77" s="404"/>
      <c r="J77" s="404"/>
      <c r="K77" s="404"/>
      <c r="L77" s="404"/>
      <c r="M77" s="404"/>
      <c r="N77" s="404"/>
      <c r="O77" s="404"/>
      <c r="P77" s="404"/>
      <c r="Q77" s="404"/>
      <c r="R77" s="404"/>
      <c r="S77" s="404"/>
      <c r="T77" s="404"/>
      <c r="U77" s="404"/>
      <c r="V77" s="404"/>
      <c r="W77" s="404"/>
      <c r="X77" s="404"/>
      <c r="Y77" s="404"/>
      <c r="Z77" s="404">
        <f>4!D79</f>
        <v>0.11052751</v>
      </c>
      <c r="AA77" s="404"/>
      <c r="AB77" s="404"/>
      <c r="AC77" s="404">
        <f>4!J79</f>
        <v>0.11</v>
      </c>
      <c r="AD77" s="404"/>
      <c r="AE77" s="404"/>
      <c r="AF77" s="404"/>
      <c r="AG77" s="127">
        <f t="shared" si="13"/>
        <v>0.11052751</v>
      </c>
      <c r="AH77" s="404"/>
      <c r="AI77" s="404"/>
      <c r="AJ77" s="127">
        <f t="shared" si="12"/>
        <v>0.11</v>
      </c>
      <c r="AK77" s="404"/>
      <c r="AL77" s="406"/>
    </row>
    <row r="78" spans="1:38" s="2" customFormat="1" ht="47.25">
      <c r="A78" s="238" t="str">
        <f>1!A78</f>
        <v>1.4.2.25</v>
      </c>
      <c r="B78" s="170" t="str">
        <f>1!B78</f>
        <v>Строительство КЛ-0,4 кВ от РУ-0,4 кВ 2КТП-244 до ВРУ-9 в ЖК "Вишнёвый сад" (2-ая очередь), п.Иноземцево, L= 0,215 км (АВБбШв 4х120)</v>
      </c>
      <c r="C78" s="507" t="str">
        <f>1!C78</f>
        <v>G_Gelezno_ТР25</v>
      </c>
      <c r="D78" s="404"/>
      <c r="E78" s="404"/>
      <c r="F78" s="404"/>
      <c r="G78" s="404"/>
      <c r="H78" s="404"/>
      <c r="I78" s="404"/>
      <c r="J78" s="404"/>
      <c r="K78" s="404"/>
      <c r="L78" s="404"/>
      <c r="M78" s="404"/>
      <c r="N78" s="404"/>
      <c r="O78" s="404"/>
      <c r="P78" s="404"/>
      <c r="Q78" s="404"/>
      <c r="R78" s="404"/>
      <c r="S78" s="404"/>
      <c r="T78" s="404"/>
      <c r="U78" s="404"/>
      <c r="V78" s="404"/>
      <c r="W78" s="404"/>
      <c r="X78" s="404"/>
      <c r="Y78" s="404"/>
      <c r="Z78" s="404">
        <f>4!D80</f>
        <v>0.19531445</v>
      </c>
      <c r="AA78" s="404"/>
      <c r="AB78" s="404"/>
      <c r="AC78" s="404">
        <f>4!J80</f>
        <v>0.215</v>
      </c>
      <c r="AD78" s="404"/>
      <c r="AE78" s="404"/>
      <c r="AF78" s="404"/>
      <c r="AG78" s="127">
        <f t="shared" si="13"/>
        <v>0.19531445</v>
      </c>
      <c r="AH78" s="404"/>
      <c r="AI78" s="404"/>
      <c r="AJ78" s="127">
        <f t="shared" si="12"/>
        <v>0.215</v>
      </c>
      <c r="AK78" s="404"/>
      <c r="AL78" s="406"/>
    </row>
    <row r="79" spans="1:38" s="2" customFormat="1" ht="47.25">
      <c r="A79" s="238" t="str">
        <f>1!A79</f>
        <v>1.4.2.26</v>
      </c>
      <c r="B79" s="170" t="str">
        <f>1!B79</f>
        <v>Строительство КЛ-0,4 кВ от ВРУ-1 МКЖД до ВРУ-2 МКЖД ул.Тихая,8, п.Иноземцево, L= 0,071 км (АВВГ 4х35)</v>
      </c>
      <c r="C79" s="507" t="str">
        <f>1!C79</f>
        <v>G_Gelezno_ТР26</v>
      </c>
      <c r="D79" s="404"/>
      <c r="E79" s="404"/>
      <c r="F79" s="404"/>
      <c r="G79" s="404"/>
      <c r="H79" s="404"/>
      <c r="I79" s="404"/>
      <c r="J79" s="404"/>
      <c r="K79" s="404"/>
      <c r="L79" s="404"/>
      <c r="M79" s="404"/>
      <c r="N79" s="404"/>
      <c r="O79" s="404"/>
      <c r="P79" s="404"/>
      <c r="Q79" s="404"/>
      <c r="R79" s="404"/>
      <c r="S79" s="404"/>
      <c r="T79" s="404"/>
      <c r="U79" s="404"/>
      <c r="V79" s="404"/>
      <c r="W79" s="404"/>
      <c r="X79" s="404"/>
      <c r="Y79" s="404"/>
      <c r="Z79" s="404">
        <f>4!D81</f>
        <v>0.02549964</v>
      </c>
      <c r="AA79" s="404"/>
      <c r="AB79" s="404"/>
      <c r="AC79" s="404">
        <f>4!J81</f>
        <v>0.071</v>
      </c>
      <c r="AD79" s="404"/>
      <c r="AE79" s="404"/>
      <c r="AF79" s="404"/>
      <c r="AG79" s="127">
        <f t="shared" si="13"/>
        <v>0.02549964</v>
      </c>
      <c r="AH79" s="404"/>
      <c r="AI79" s="404"/>
      <c r="AJ79" s="127">
        <f t="shared" si="12"/>
        <v>0.071</v>
      </c>
      <c r="AK79" s="404"/>
      <c r="AL79" s="406"/>
    </row>
    <row r="80" spans="1:38" s="2" customFormat="1" ht="47.25">
      <c r="A80" s="238" t="str">
        <f>1!A80</f>
        <v>1.4.2.27</v>
      </c>
      <c r="B80" s="170" t="str">
        <f>1!B80</f>
        <v>Строительство КЛ-0,4 кВ от ВРУ-2 МКЖД до ВРУ-3 МКЖД ул.Тихая,8, п.Иноземцево, L= 0,025 км (АВВГ 4х35)</v>
      </c>
      <c r="C80" s="507" t="str">
        <f>1!C80</f>
        <v>G_Gelezno_ТР27</v>
      </c>
      <c r="D80" s="127"/>
      <c r="E80" s="127"/>
      <c r="F80" s="127"/>
      <c r="G80" s="127"/>
      <c r="H80" s="127"/>
      <c r="I80" s="127"/>
      <c r="J80" s="127"/>
      <c r="K80" s="127"/>
      <c r="L80" s="127"/>
      <c r="M80" s="127"/>
      <c r="N80" s="127"/>
      <c r="O80" s="127"/>
      <c r="P80" s="127"/>
      <c r="Q80" s="127"/>
      <c r="R80" s="127"/>
      <c r="S80" s="127"/>
      <c r="T80" s="127"/>
      <c r="U80" s="127"/>
      <c r="V80" s="127"/>
      <c r="W80" s="127"/>
      <c r="X80" s="127"/>
      <c r="Y80" s="127"/>
      <c r="Z80" s="127">
        <f>4!D82</f>
        <v>0.01096922</v>
      </c>
      <c r="AA80" s="127"/>
      <c r="AB80" s="127"/>
      <c r="AC80" s="127">
        <f>4!J82</f>
        <v>0.025</v>
      </c>
      <c r="AD80" s="127"/>
      <c r="AE80" s="127"/>
      <c r="AF80" s="127"/>
      <c r="AG80" s="127">
        <f t="shared" si="13"/>
        <v>0.01096922</v>
      </c>
      <c r="AH80" s="127"/>
      <c r="AI80" s="127"/>
      <c r="AJ80" s="127">
        <f t="shared" si="12"/>
        <v>0.025</v>
      </c>
      <c r="AK80" s="127"/>
      <c r="AL80" s="253"/>
    </row>
    <row r="81" spans="1:38" s="2" customFormat="1" ht="47.25">
      <c r="A81" s="238" t="str">
        <f>1!A81</f>
        <v>1.4.2.28</v>
      </c>
      <c r="B81" s="170" t="str">
        <f>1!B81</f>
        <v>Строительство КЛ-0,4 кВ от ВРУ-3 МКЖД до РУ-0,4 кВ КТП-248 ул.Тихая,8, п.Иноземцево, L= 0,107 км (АВВГ 4х35)</v>
      </c>
      <c r="C81" s="507" t="str">
        <f>1!C81</f>
        <v>G_Gelezno_ТР28</v>
      </c>
      <c r="D81" s="404"/>
      <c r="E81" s="404"/>
      <c r="F81" s="404"/>
      <c r="G81" s="404"/>
      <c r="H81" s="404"/>
      <c r="I81" s="404"/>
      <c r="J81" s="404"/>
      <c r="K81" s="404"/>
      <c r="L81" s="404"/>
      <c r="M81" s="404"/>
      <c r="N81" s="404"/>
      <c r="O81" s="404"/>
      <c r="P81" s="404"/>
      <c r="Q81" s="404"/>
      <c r="R81" s="404"/>
      <c r="S81" s="404"/>
      <c r="T81" s="404"/>
      <c r="U81" s="404"/>
      <c r="V81" s="404"/>
      <c r="W81" s="404"/>
      <c r="X81" s="404"/>
      <c r="Y81" s="404"/>
      <c r="Z81" s="404">
        <f>4!D83</f>
        <v>0.04121472</v>
      </c>
      <c r="AA81" s="404"/>
      <c r="AB81" s="404"/>
      <c r="AC81" s="404">
        <f>4!J83</f>
        <v>0.107</v>
      </c>
      <c r="AD81" s="404"/>
      <c r="AE81" s="404"/>
      <c r="AF81" s="404"/>
      <c r="AG81" s="127">
        <f t="shared" si="13"/>
        <v>0.04121472</v>
      </c>
      <c r="AH81" s="404"/>
      <c r="AI81" s="404"/>
      <c r="AJ81" s="127">
        <f t="shared" si="12"/>
        <v>0.107</v>
      </c>
      <c r="AK81" s="404"/>
      <c r="AL81" s="406"/>
    </row>
    <row r="82" spans="1:38" s="2" customFormat="1" ht="47.25">
      <c r="A82" s="238" t="str">
        <f>1!A82</f>
        <v>1.4.2.29</v>
      </c>
      <c r="B82" s="170" t="str">
        <f>1!B82</f>
        <v>Строительство КЛ-0,4 кВ от РУ-0,4 кВ КТП-248 до ВРУ-1 МКЖД ул.Тихая,8, п.Иноземцево, L= 0,102 км (АВВГ 4х35)</v>
      </c>
      <c r="C82" s="507" t="str">
        <f>1!C82</f>
        <v>G_Gelezno_ТР29</v>
      </c>
      <c r="D82" s="404"/>
      <c r="E82" s="404"/>
      <c r="F82" s="404"/>
      <c r="G82" s="404"/>
      <c r="H82" s="404"/>
      <c r="I82" s="404"/>
      <c r="J82" s="404"/>
      <c r="K82" s="404"/>
      <c r="L82" s="404"/>
      <c r="M82" s="404"/>
      <c r="N82" s="404"/>
      <c r="O82" s="404"/>
      <c r="P82" s="404"/>
      <c r="Q82" s="404"/>
      <c r="R82" s="404"/>
      <c r="S82" s="404"/>
      <c r="T82" s="404"/>
      <c r="U82" s="404"/>
      <c r="V82" s="404"/>
      <c r="W82" s="404"/>
      <c r="X82" s="404"/>
      <c r="Y82" s="404"/>
      <c r="Z82" s="404">
        <f>4!D84</f>
        <v>0.03955251</v>
      </c>
      <c r="AA82" s="404"/>
      <c r="AB82" s="404"/>
      <c r="AC82" s="404">
        <f>4!J84</f>
        <v>0.102</v>
      </c>
      <c r="AD82" s="404"/>
      <c r="AE82" s="404"/>
      <c r="AF82" s="404"/>
      <c r="AG82" s="127">
        <f t="shared" si="13"/>
        <v>0.03955251</v>
      </c>
      <c r="AH82" s="404"/>
      <c r="AI82" s="404"/>
      <c r="AJ82" s="127">
        <f t="shared" si="12"/>
        <v>0.102</v>
      </c>
      <c r="AK82" s="404"/>
      <c r="AL82" s="406"/>
    </row>
    <row r="83" spans="1:38" s="2" customFormat="1" ht="47.25">
      <c r="A83" s="238" t="str">
        <f>1!A83</f>
        <v>1.4.2.30</v>
      </c>
      <c r="B83" s="170" t="str">
        <f>1!B83</f>
        <v>Строительство КЛ-0,4 кВ от РУ-0,4 кВ КТП-105 до РЩ МКЖД ул.Октябрьская,96 Б, г.Железноводск, L= 0,186 км (АВБбШВ 4х95)</v>
      </c>
      <c r="C83" s="507" t="str">
        <f>1!C83</f>
        <v>G_Gelezno_ТР30</v>
      </c>
      <c r="D83" s="404"/>
      <c r="E83" s="404"/>
      <c r="F83" s="404"/>
      <c r="G83" s="404"/>
      <c r="H83" s="404"/>
      <c r="I83" s="404"/>
      <c r="J83" s="404"/>
      <c r="K83" s="404"/>
      <c r="L83" s="404"/>
      <c r="M83" s="404"/>
      <c r="N83" s="404"/>
      <c r="O83" s="404"/>
      <c r="P83" s="404"/>
      <c r="Q83" s="404"/>
      <c r="R83" s="404"/>
      <c r="S83" s="404"/>
      <c r="T83" s="404"/>
      <c r="U83" s="404"/>
      <c r="V83" s="404"/>
      <c r="W83" s="404"/>
      <c r="X83" s="404"/>
      <c r="Y83" s="404"/>
      <c r="Z83" s="404">
        <f>4!D85</f>
        <v>0.13003376</v>
      </c>
      <c r="AA83" s="404"/>
      <c r="AB83" s="404"/>
      <c r="AC83" s="404">
        <f>4!J85</f>
        <v>0.186</v>
      </c>
      <c r="AD83" s="404"/>
      <c r="AE83" s="404"/>
      <c r="AF83" s="404"/>
      <c r="AG83" s="127">
        <f t="shared" si="13"/>
        <v>0.13003376</v>
      </c>
      <c r="AH83" s="404"/>
      <c r="AI83" s="404"/>
      <c r="AJ83" s="127">
        <f t="shared" si="12"/>
        <v>0.186</v>
      </c>
      <c r="AK83" s="404"/>
      <c r="AL83" s="406"/>
    </row>
    <row r="84" spans="1:38" s="2" customFormat="1" ht="47.25">
      <c r="A84" s="238" t="str">
        <f>1!A84</f>
        <v>1.4.2.31</v>
      </c>
      <c r="B84" s="170" t="str">
        <f>1!B84</f>
        <v>Строительство КЛ-0,4 кВ от ВРУ-12 до ВРУ-2 в ЖК "Вишнёвый сад" (2-ая очередь), п.Иноземцево, L= 0,1 км (АВБбШВ 4х150)</v>
      </c>
      <c r="C84" s="507" t="str">
        <f>1!C84</f>
        <v>G_Gelezno_ТР31</v>
      </c>
      <c r="D84" s="404"/>
      <c r="E84" s="404"/>
      <c r="F84" s="404"/>
      <c r="G84" s="404"/>
      <c r="H84" s="404"/>
      <c r="I84" s="404"/>
      <c r="J84" s="404"/>
      <c r="K84" s="404"/>
      <c r="L84" s="404"/>
      <c r="M84" s="404"/>
      <c r="N84" s="404"/>
      <c r="O84" s="404"/>
      <c r="P84" s="404"/>
      <c r="Q84" s="404"/>
      <c r="R84" s="404"/>
      <c r="S84" s="404"/>
      <c r="T84" s="404"/>
      <c r="U84" s="404"/>
      <c r="V84" s="404"/>
      <c r="W84" s="404"/>
      <c r="X84" s="404"/>
      <c r="Y84" s="404"/>
      <c r="Z84" s="404">
        <f>4!D86</f>
        <v>0.11731838</v>
      </c>
      <c r="AA84" s="404"/>
      <c r="AB84" s="404"/>
      <c r="AC84" s="404">
        <f>4!J86</f>
        <v>0.1</v>
      </c>
      <c r="AD84" s="404"/>
      <c r="AE84" s="404"/>
      <c r="AF84" s="404"/>
      <c r="AG84" s="127">
        <f t="shared" si="13"/>
        <v>0.11731838</v>
      </c>
      <c r="AH84" s="404"/>
      <c r="AI84" s="404"/>
      <c r="AJ84" s="127">
        <f t="shared" si="12"/>
        <v>0.1</v>
      </c>
      <c r="AK84" s="404"/>
      <c r="AL84" s="406"/>
    </row>
    <row r="85" spans="1:38" s="2" customFormat="1" ht="47.25">
      <c r="A85" s="238" t="str">
        <f>1!A85</f>
        <v>1.4.2.32</v>
      </c>
      <c r="B85" s="170" t="str">
        <f>1!B85</f>
        <v>Строительство КЛ-0,4кВ от ВРУ-16 до ВРУ-10 в ЖК"Вишнёвый сад" (2-ая очередь), п.Иноземцево, L= 0,035 км (АВБбШВ 4х95)</v>
      </c>
      <c r="C85" s="507" t="str">
        <f>1!C85</f>
        <v>G_Gelezno_ТР32</v>
      </c>
      <c r="D85" s="404"/>
      <c r="E85" s="404"/>
      <c r="F85" s="404"/>
      <c r="G85" s="404"/>
      <c r="H85" s="404"/>
      <c r="I85" s="404"/>
      <c r="J85" s="404"/>
      <c r="K85" s="404"/>
      <c r="L85" s="404"/>
      <c r="M85" s="404"/>
      <c r="N85" s="404"/>
      <c r="O85" s="404"/>
      <c r="P85" s="404"/>
      <c r="Q85" s="404"/>
      <c r="R85" s="404"/>
      <c r="S85" s="404"/>
      <c r="T85" s="404"/>
      <c r="U85" s="404"/>
      <c r="V85" s="404"/>
      <c r="W85" s="404"/>
      <c r="X85" s="404"/>
      <c r="Y85" s="404"/>
      <c r="Z85" s="404">
        <f>4!D87</f>
        <v>0.04696934</v>
      </c>
      <c r="AA85" s="404"/>
      <c r="AB85" s="404"/>
      <c r="AC85" s="404">
        <f>4!J87</f>
        <v>0.035</v>
      </c>
      <c r="AD85" s="404"/>
      <c r="AE85" s="404"/>
      <c r="AF85" s="404"/>
      <c r="AG85" s="127">
        <f t="shared" si="13"/>
        <v>0.04696934</v>
      </c>
      <c r="AH85" s="404"/>
      <c r="AI85" s="404"/>
      <c r="AJ85" s="127">
        <f t="shared" si="12"/>
        <v>0.035</v>
      </c>
      <c r="AK85" s="404"/>
      <c r="AL85" s="406"/>
    </row>
    <row r="86" spans="1:38" s="2" customFormat="1" ht="47.25">
      <c r="A86" s="238" t="str">
        <f>1!A86</f>
        <v>1.4.2.33</v>
      </c>
      <c r="B86" s="170" t="str">
        <f>1!B86</f>
        <v>Строительство КЛ-0,4 кВ от опоры ВЛ-0,4 кВ № 21 до ВРУ-1 в ЖК "Вишнёвый сад" (2-ая очередь), п.Иноземцево, L= 0,05 км (АВБбШВ 4х120)</v>
      </c>
      <c r="C86" s="507" t="str">
        <f>1!C86</f>
        <v>G_Gelezno_ТР33</v>
      </c>
      <c r="D86" s="404"/>
      <c r="E86" s="404"/>
      <c r="F86" s="404"/>
      <c r="G86" s="404"/>
      <c r="H86" s="404"/>
      <c r="I86" s="404"/>
      <c r="J86" s="404"/>
      <c r="K86" s="404"/>
      <c r="L86" s="404"/>
      <c r="M86" s="404"/>
      <c r="N86" s="404"/>
      <c r="O86" s="404"/>
      <c r="P86" s="404"/>
      <c r="Q86" s="404"/>
      <c r="R86" s="404"/>
      <c r="S86" s="404"/>
      <c r="T86" s="404"/>
      <c r="U86" s="404"/>
      <c r="V86" s="404"/>
      <c r="W86" s="404"/>
      <c r="X86" s="404"/>
      <c r="Y86" s="404"/>
      <c r="Z86" s="404">
        <f>4!D88</f>
        <v>0.06008357</v>
      </c>
      <c r="AA86" s="404"/>
      <c r="AB86" s="404"/>
      <c r="AC86" s="404">
        <f>4!J88</f>
        <v>0.05</v>
      </c>
      <c r="AD86" s="404"/>
      <c r="AE86" s="404"/>
      <c r="AF86" s="404"/>
      <c r="AG86" s="127">
        <f t="shared" si="13"/>
        <v>0.06008357</v>
      </c>
      <c r="AH86" s="404"/>
      <c r="AI86" s="404"/>
      <c r="AJ86" s="127">
        <f t="shared" si="12"/>
        <v>0.05</v>
      </c>
      <c r="AK86" s="404"/>
      <c r="AL86" s="406"/>
    </row>
    <row r="87" spans="1:38" s="2" customFormat="1" ht="47.25">
      <c r="A87" s="238" t="str">
        <f>1!A87</f>
        <v>1.4.2.34</v>
      </c>
      <c r="B87" s="170" t="str">
        <f>1!B87</f>
        <v>Строительство КЛ-0,4 кВ от РУ-0,4 кВ 2КТП-244 до ВРУ-12 в ЖК "Вишнёвый сад" (2-ая очередь), п.Иноземцево, L= 0,17 км (АВБбШВ 4х185) км</v>
      </c>
      <c r="C87" s="507" t="str">
        <f>1!C87</f>
        <v>G_Gelezno_ТР34</v>
      </c>
      <c r="D87" s="404"/>
      <c r="E87" s="404"/>
      <c r="F87" s="404"/>
      <c r="G87" s="404"/>
      <c r="H87" s="404"/>
      <c r="I87" s="404"/>
      <c r="J87" s="404"/>
      <c r="K87" s="404"/>
      <c r="L87" s="404"/>
      <c r="M87" s="404"/>
      <c r="N87" s="404"/>
      <c r="O87" s="404"/>
      <c r="P87" s="404"/>
      <c r="Q87" s="404"/>
      <c r="R87" s="404"/>
      <c r="S87" s="404"/>
      <c r="T87" s="404"/>
      <c r="U87" s="404"/>
      <c r="V87" s="404"/>
      <c r="W87" s="404"/>
      <c r="X87" s="404"/>
      <c r="Y87" s="404"/>
      <c r="Z87" s="404">
        <f>4!D89</f>
        <v>0.22782302</v>
      </c>
      <c r="AA87" s="404"/>
      <c r="AB87" s="404"/>
      <c r="AC87" s="404">
        <f>4!J89</f>
        <v>0.17</v>
      </c>
      <c r="AD87" s="404"/>
      <c r="AE87" s="404"/>
      <c r="AF87" s="404"/>
      <c r="AG87" s="127">
        <f t="shared" si="13"/>
        <v>0.22782302</v>
      </c>
      <c r="AH87" s="404"/>
      <c r="AI87" s="404"/>
      <c r="AJ87" s="127">
        <f t="shared" si="12"/>
        <v>0.17</v>
      </c>
      <c r="AK87" s="404"/>
      <c r="AL87" s="406"/>
    </row>
    <row r="88" spans="1:38" s="2" customFormat="1" ht="47.25">
      <c r="A88" s="238" t="str">
        <f>1!A88</f>
        <v>1.4.2.35</v>
      </c>
      <c r="B88" s="170" t="str">
        <f>1!B88</f>
        <v>Строительство КЛ-0,4 кВ от РУ-0,4 кВ 2КТП-244 до ВРУ-15 в ЖК "Вишнёвый сад" (2-ая очередь), п.Иноземцево, L= 0,08 км (АВБбШВ 4х95)</v>
      </c>
      <c r="C88" s="507" t="str">
        <f>1!C88</f>
        <v>G_Gelezno_ТР35</v>
      </c>
      <c r="D88" s="404"/>
      <c r="E88" s="404"/>
      <c r="F88" s="404"/>
      <c r="G88" s="404"/>
      <c r="H88" s="404"/>
      <c r="I88" s="404"/>
      <c r="J88" s="404"/>
      <c r="K88" s="404"/>
      <c r="L88" s="404"/>
      <c r="M88" s="404"/>
      <c r="N88" s="404"/>
      <c r="O88" s="404"/>
      <c r="P88" s="404"/>
      <c r="Q88" s="404"/>
      <c r="R88" s="404"/>
      <c r="S88" s="404"/>
      <c r="T88" s="404"/>
      <c r="U88" s="404"/>
      <c r="V88" s="404"/>
      <c r="W88" s="404"/>
      <c r="X88" s="404"/>
      <c r="Y88" s="404"/>
      <c r="Z88" s="404">
        <f>4!D90</f>
        <v>0.08915185</v>
      </c>
      <c r="AA88" s="404"/>
      <c r="AB88" s="404"/>
      <c r="AC88" s="404">
        <f>4!J90</f>
        <v>0.08</v>
      </c>
      <c r="AD88" s="404"/>
      <c r="AE88" s="404"/>
      <c r="AF88" s="404"/>
      <c r="AG88" s="127">
        <f t="shared" si="13"/>
        <v>0.08915185</v>
      </c>
      <c r="AH88" s="404"/>
      <c r="AI88" s="404"/>
      <c r="AJ88" s="127">
        <f t="shared" si="12"/>
        <v>0.08</v>
      </c>
      <c r="AK88" s="404"/>
      <c r="AL88" s="406"/>
    </row>
    <row r="89" spans="1:38" s="2" customFormat="1" ht="63">
      <c r="A89" s="238" t="str">
        <f>1!A89</f>
        <v>1.4.2.36</v>
      </c>
      <c r="B89" s="170" t="str">
        <f>1!B89</f>
        <v>Строительство ВЛ-0,4 кВ от РУ-0,4 кВ КТП-241 ЖК "Вишнёвый сад" (2-ая очередь), п.Иноземцево, СИП-2 3х150+1х95 - 0,204 км СИП-2 3х120+1х95 - 0,275 км и СИП-2 3х95+1х70 - 0,408 км</v>
      </c>
      <c r="C89" s="507" t="str">
        <f>1!C89</f>
        <v>G_Gelezno_ТР36</v>
      </c>
      <c r="D89" s="404"/>
      <c r="E89" s="404"/>
      <c r="F89" s="404"/>
      <c r="G89" s="404"/>
      <c r="H89" s="404"/>
      <c r="I89" s="404"/>
      <c r="J89" s="404"/>
      <c r="K89" s="404"/>
      <c r="L89" s="404"/>
      <c r="M89" s="404"/>
      <c r="N89" s="404"/>
      <c r="O89" s="404"/>
      <c r="P89" s="404"/>
      <c r="Q89" s="404"/>
      <c r="R89" s="404"/>
      <c r="S89" s="404"/>
      <c r="T89" s="404"/>
      <c r="U89" s="404"/>
      <c r="V89" s="404"/>
      <c r="W89" s="404"/>
      <c r="X89" s="404"/>
      <c r="Y89" s="404"/>
      <c r="Z89" s="404">
        <f>4!D91</f>
        <v>1.23239373</v>
      </c>
      <c r="AA89" s="404"/>
      <c r="AB89" s="404"/>
      <c r="AC89" s="404">
        <f>4!J91</f>
        <v>0.887</v>
      </c>
      <c r="AD89" s="404"/>
      <c r="AE89" s="404"/>
      <c r="AF89" s="404"/>
      <c r="AG89" s="127">
        <f t="shared" si="13"/>
        <v>1.23239373</v>
      </c>
      <c r="AH89" s="404"/>
      <c r="AI89" s="404"/>
      <c r="AJ89" s="127">
        <f t="shared" si="12"/>
        <v>0.887</v>
      </c>
      <c r="AK89" s="404"/>
      <c r="AL89" s="406"/>
    </row>
    <row r="90" spans="1:38" s="2" customFormat="1" ht="31.5">
      <c r="A90" s="238" t="str">
        <f>1!A90</f>
        <v>1.4.2.37</v>
      </c>
      <c r="B90" s="170" t="str">
        <f>1!B90</f>
        <v>Строительство КТП-249 пер.Промышленный,24, п.Иноземцево (ТМГ-630 кВА)(Линия 2), L=0,143 км</v>
      </c>
      <c r="C90" s="507" t="str">
        <f>1!C90</f>
        <v>G_Gelezno_ТР37</v>
      </c>
      <c r="D90" s="404"/>
      <c r="E90" s="404"/>
      <c r="F90" s="404"/>
      <c r="G90" s="404"/>
      <c r="H90" s="404"/>
      <c r="I90" s="404"/>
      <c r="J90" s="404"/>
      <c r="K90" s="404"/>
      <c r="L90" s="404"/>
      <c r="M90" s="404"/>
      <c r="N90" s="404"/>
      <c r="O90" s="404"/>
      <c r="P90" s="404"/>
      <c r="Q90" s="404"/>
      <c r="R90" s="404"/>
      <c r="S90" s="404"/>
      <c r="T90" s="404"/>
      <c r="U90" s="404"/>
      <c r="V90" s="404"/>
      <c r="W90" s="404"/>
      <c r="X90" s="404"/>
      <c r="Y90" s="404"/>
      <c r="Z90" s="404">
        <f>4!D92</f>
        <v>1.42304536</v>
      </c>
      <c r="AA90" s="404">
        <f>4!H92</f>
        <v>0.63</v>
      </c>
      <c r="AB90" s="404"/>
      <c r="AC90" s="404"/>
      <c r="AD90" s="404"/>
      <c r="AE90" s="404"/>
      <c r="AF90" s="404"/>
      <c r="AG90" s="127">
        <f t="shared" si="13"/>
        <v>1.42304536</v>
      </c>
      <c r="AH90" s="404">
        <f>AA90</f>
        <v>0.63</v>
      </c>
      <c r="AI90" s="404"/>
      <c r="AJ90" s="127"/>
      <c r="AK90" s="404"/>
      <c r="AL90" s="406"/>
    </row>
    <row r="91" spans="1:38" s="2" customFormat="1" ht="7.5" customHeight="1" thickBot="1">
      <c r="A91" s="241"/>
      <c r="B91" s="254"/>
      <c r="C91" s="242"/>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55"/>
    </row>
    <row r="92" spans="1:38" ht="15.75">
      <c r="A92" s="233"/>
      <c r="B92" s="252"/>
      <c r="C92" s="234"/>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row>
    <row r="93" spans="1:38" ht="15.75">
      <c r="A93" s="233"/>
      <c r="B93" s="252"/>
      <c r="C93" s="234"/>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row>
    <row r="94" spans="1:38" ht="15.75">
      <c r="A94" s="233"/>
      <c r="B94" s="252"/>
      <c r="C94" s="234"/>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row>
    <row r="95" spans="1:38" ht="15.75">
      <c r="A95" s="233"/>
      <c r="B95" s="252"/>
      <c r="C95" s="234"/>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row>
    <row r="96" spans="1:38" ht="15.75">
      <c r="A96" s="233"/>
      <c r="B96" s="252"/>
      <c r="C96" s="234"/>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row>
    <row r="97" spans="1:38" ht="15.75">
      <c r="A97" s="233"/>
      <c r="B97" s="252"/>
      <c r="C97" s="234"/>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row>
    <row r="98" spans="1:38" ht="15.75">
      <c r="A98" s="233"/>
      <c r="B98" s="603" t="s">
        <v>595</v>
      </c>
      <c r="C98" s="603"/>
      <c r="D98" s="603"/>
      <c r="E98" s="603"/>
      <c r="F98" s="603"/>
      <c r="G98" s="603"/>
      <c r="H98" s="603"/>
      <c r="I98" s="603"/>
      <c r="J98" s="603"/>
      <c r="K98" s="603"/>
      <c r="L98" s="603"/>
      <c r="M98" s="603"/>
      <c r="N98" s="603"/>
      <c r="O98" s="603"/>
      <c r="P98" s="603"/>
      <c r="Q98" s="603"/>
      <c r="R98" s="603"/>
      <c r="S98" s="603"/>
      <c r="T98" s="603"/>
      <c r="U98" s="603"/>
      <c r="V98" s="603"/>
      <c r="W98" s="235"/>
      <c r="X98" s="235"/>
      <c r="Y98" s="235"/>
      <c r="Z98" s="235"/>
      <c r="AA98" s="235"/>
      <c r="AB98" s="235"/>
      <c r="AC98" s="235"/>
      <c r="AD98" s="235"/>
      <c r="AE98" s="235"/>
      <c r="AF98" s="235"/>
      <c r="AG98" s="235"/>
      <c r="AH98" s="235"/>
      <c r="AI98" s="235"/>
      <c r="AJ98" s="235"/>
      <c r="AK98" s="235"/>
      <c r="AL98" s="235"/>
    </row>
    <row r="112" ht="15.75">
      <c r="AJ112" s="1" t="s">
        <v>498</v>
      </c>
    </row>
  </sheetData>
  <sheetProtection/>
  <mergeCells count="21">
    <mergeCell ref="A18:AL18"/>
    <mergeCell ref="D20:J20"/>
    <mergeCell ref="A11:AL11"/>
    <mergeCell ref="A13:AL13"/>
    <mergeCell ref="A14:AL14"/>
    <mergeCell ref="D19:AL19"/>
    <mergeCell ref="A12:AL12"/>
    <mergeCell ref="A19:A22"/>
    <mergeCell ref="A16:AL16"/>
    <mergeCell ref="B19:B22"/>
    <mergeCell ref="C19:C22"/>
    <mergeCell ref="E21:J21"/>
    <mergeCell ref="B98:V98"/>
    <mergeCell ref="AF20:AL20"/>
    <mergeCell ref="R20:X20"/>
    <mergeCell ref="Z21:AE21"/>
    <mergeCell ref="AG21:AL21"/>
    <mergeCell ref="K20:Q20"/>
    <mergeCell ref="L21:Q21"/>
    <mergeCell ref="Y20:AE20"/>
    <mergeCell ref="S21:X21"/>
  </mergeCells>
  <printOptions/>
  <pageMargins left="0.3937007874015748" right="0.1968503937007874" top="0.5905511811023623" bottom="0.5905511811023623" header="0.11811023622047245" footer="0.11811023622047245"/>
  <pageSetup horizontalDpi="600" verticalDpi="600" orientation="portrait" paperSize="8" scale="80" r:id="rId1"/>
</worksheet>
</file>

<file path=xl/worksheets/sheet6.xml><?xml version="1.0" encoding="utf-8"?>
<worksheet xmlns="http://schemas.openxmlformats.org/spreadsheetml/2006/main" xmlns:r="http://schemas.openxmlformats.org/officeDocument/2006/relationships">
  <sheetPr>
    <tabColor rgb="FF92D050"/>
  </sheetPr>
  <dimension ref="A1:BR99"/>
  <sheetViews>
    <sheetView view="pageBreakPreview" zoomScale="70" zoomScaleSheetLayoutView="70" zoomScalePageLayoutView="0" workbookViewId="0" topLeftCell="A64">
      <selection activeCell="B81" sqref="B81"/>
    </sheetView>
  </sheetViews>
  <sheetFormatPr defaultColWidth="9.00390625" defaultRowHeight="15.75"/>
  <cols>
    <col min="1" max="1" width="8.625" style="1" customWidth="1"/>
    <col min="2" max="2" width="140.75390625" style="1" customWidth="1"/>
    <col min="3" max="3" width="14.625" style="1" customWidth="1"/>
    <col min="4" max="4" width="5.375" style="1" customWidth="1"/>
    <col min="5" max="9" width="7.00390625" style="1" customWidth="1"/>
    <col min="10" max="10" width="4.50390625" style="1" customWidth="1"/>
    <col min="11" max="11" width="6.00390625" style="1" bestFit="1" customWidth="1"/>
    <col min="12" max="12" width="5.75390625" style="1" bestFit="1" customWidth="1"/>
    <col min="13" max="13" width="6.875" style="1" customWidth="1"/>
    <col min="14" max="15" width="5.75390625" style="1" bestFit="1" customWidth="1"/>
    <col min="16" max="16" width="5.50390625" style="1" bestFit="1" customWidth="1"/>
    <col min="17" max="21" width="7.00390625" style="1" customWidth="1"/>
    <col min="22" max="22" width="5.50390625" style="1" bestFit="1" customWidth="1"/>
    <col min="23" max="24" width="6.00390625" style="1" customWidth="1"/>
    <col min="25" max="25" width="7.375" style="1" customWidth="1"/>
    <col min="26" max="27" width="6.00390625" style="1" customWidth="1"/>
    <col min="28" max="28" width="47.50390625" style="1" customWidth="1"/>
    <col min="29" max="16384" width="9.00390625" style="1" customWidth="1"/>
  </cols>
  <sheetData>
    <row r="1" spans="22:28" ht="18.75">
      <c r="V1" s="2"/>
      <c r="W1" s="2"/>
      <c r="X1" s="2"/>
      <c r="Y1" s="2"/>
      <c r="Z1" s="2"/>
      <c r="AA1" s="2"/>
      <c r="AB1" s="26" t="s">
        <v>141</v>
      </c>
    </row>
    <row r="2" spans="22:28" ht="18.75">
      <c r="V2" s="2"/>
      <c r="W2" s="2"/>
      <c r="X2" s="2"/>
      <c r="Y2" s="2"/>
      <c r="Z2" s="2"/>
      <c r="AA2" s="2"/>
      <c r="AB2" s="16" t="s">
        <v>423</v>
      </c>
    </row>
    <row r="3" spans="22:28" ht="18.75">
      <c r="V3" s="2"/>
      <c r="W3" s="2"/>
      <c r="X3" s="2"/>
      <c r="Y3" s="2"/>
      <c r="Z3" s="2"/>
      <c r="AA3" s="2"/>
      <c r="AB3" s="16" t="s">
        <v>589</v>
      </c>
    </row>
    <row r="4" spans="22:28" ht="18.75">
      <c r="V4" s="2"/>
      <c r="W4" s="2"/>
      <c r="X4" s="2"/>
      <c r="Y4" s="2"/>
      <c r="Z4" s="2"/>
      <c r="AA4" s="2"/>
      <c r="AB4" s="16"/>
    </row>
    <row r="5" spans="22:28" ht="15.75">
      <c r="V5" s="2"/>
      <c r="W5" s="2"/>
      <c r="X5" s="2"/>
      <c r="Y5" s="2"/>
      <c r="Z5" s="2"/>
      <c r="AA5" s="2"/>
      <c r="AB5" s="251" t="s">
        <v>591</v>
      </c>
    </row>
    <row r="6" spans="22:28" ht="15.75">
      <c r="V6" s="2"/>
      <c r="W6" s="2"/>
      <c r="X6" s="2"/>
      <c r="Y6" s="2"/>
      <c r="Z6" s="2"/>
      <c r="AA6" s="2"/>
      <c r="AB6" s="251" t="s">
        <v>592</v>
      </c>
    </row>
    <row r="7" spans="22:28" ht="15.75">
      <c r="V7" s="2"/>
      <c r="W7" s="2"/>
      <c r="X7" s="2"/>
      <c r="Y7" s="2"/>
      <c r="Z7" s="2"/>
      <c r="AA7" s="2"/>
      <c r="AB7" s="251"/>
    </row>
    <row r="8" spans="22:28" ht="15.75">
      <c r="V8" s="2"/>
      <c r="W8" s="2"/>
      <c r="X8" s="2"/>
      <c r="Y8" s="2"/>
      <c r="Z8" s="2"/>
      <c r="AA8" s="2"/>
      <c r="AB8" s="251" t="s">
        <v>597</v>
      </c>
    </row>
    <row r="9" spans="22:28" ht="15.75">
      <c r="V9" s="2"/>
      <c r="W9" s="2"/>
      <c r="X9" s="2"/>
      <c r="Y9" s="2"/>
      <c r="Z9" s="2"/>
      <c r="AA9" s="2"/>
      <c r="AB9" s="251"/>
    </row>
    <row r="10" spans="22:28" ht="15.75">
      <c r="V10" s="2"/>
      <c r="W10" s="2"/>
      <c r="X10" s="2"/>
      <c r="Y10" s="2"/>
      <c r="Z10" s="2"/>
      <c r="AA10" s="2" t="s">
        <v>593</v>
      </c>
      <c r="AB10" s="251" t="s">
        <v>764</v>
      </c>
    </row>
    <row r="11" spans="22:28" ht="15.75">
      <c r="V11" s="2"/>
      <c r="W11" s="2"/>
      <c r="X11" s="2"/>
      <c r="Y11" s="2"/>
      <c r="Z11" s="2"/>
      <c r="AA11" s="2"/>
      <c r="AB11" s="251"/>
    </row>
    <row r="12" spans="1:28" ht="15.75">
      <c r="A12" s="650" t="s">
        <v>197</v>
      </c>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row>
    <row r="13" spans="1:28" ht="18.75">
      <c r="A13" s="532" t="str">
        <f>1!A14:U14</f>
        <v>Инвестиционная программа Филиала "Железноводские электрические сети" ООО "КЭУК".</v>
      </c>
      <c r="B13" s="532"/>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row>
    <row r="14" spans="1:28" ht="15.75">
      <c r="A14" s="542" t="s">
        <v>109</v>
      </c>
      <c r="B14" s="542"/>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row>
    <row r="15" spans="1:28" ht="18.75">
      <c r="A15" s="559" t="str">
        <f>1!A17:U17</f>
        <v>Год раскрытия информации: 2018 год</v>
      </c>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row>
    <row r="16" spans="1:27" ht="16.5" thickBot="1">
      <c r="A16" s="604"/>
      <c r="B16" s="604"/>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row>
    <row r="17" spans="1:28" ht="60" customHeight="1">
      <c r="A17" s="605" t="s">
        <v>604</v>
      </c>
      <c r="B17" s="622" t="s">
        <v>452</v>
      </c>
      <c r="C17" s="622" t="s">
        <v>426</v>
      </c>
      <c r="D17" s="638" t="s">
        <v>609</v>
      </c>
      <c r="E17" s="639"/>
      <c r="F17" s="639"/>
      <c r="G17" s="639"/>
      <c r="H17" s="639"/>
      <c r="I17" s="639"/>
      <c r="J17" s="639"/>
      <c r="K17" s="639"/>
      <c r="L17" s="639"/>
      <c r="M17" s="639"/>
      <c r="N17" s="639"/>
      <c r="O17" s="640"/>
      <c r="P17" s="647" t="s">
        <v>140</v>
      </c>
      <c r="Q17" s="648"/>
      <c r="R17" s="648"/>
      <c r="S17" s="648"/>
      <c r="T17" s="648"/>
      <c r="U17" s="648"/>
      <c r="V17" s="648"/>
      <c r="W17" s="648"/>
      <c r="X17" s="648"/>
      <c r="Y17" s="648"/>
      <c r="Z17" s="648"/>
      <c r="AA17" s="649"/>
      <c r="AB17" s="651" t="s">
        <v>21</v>
      </c>
    </row>
    <row r="18" spans="1:70" ht="15.75" customHeight="1">
      <c r="A18" s="606"/>
      <c r="B18" s="613"/>
      <c r="C18" s="613"/>
      <c r="D18" s="641"/>
      <c r="E18" s="642"/>
      <c r="F18" s="642"/>
      <c r="G18" s="642"/>
      <c r="H18" s="642"/>
      <c r="I18" s="642"/>
      <c r="J18" s="642"/>
      <c r="K18" s="642"/>
      <c r="L18" s="642"/>
      <c r="M18" s="642"/>
      <c r="N18" s="642"/>
      <c r="O18" s="643"/>
      <c r="P18" s="612" t="s">
        <v>600</v>
      </c>
      <c r="Q18" s="612"/>
      <c r="R18" s="612"/>
      <c r="S18" s="612"/>
      <c r="T18" s="612"/>
      <c r="U18" s="612"/>
      <c r="V18" s="612"/>
      <c r="W18" s="612"/>
      <c r="X18" s="612"/>
      <c r="Y18" s="612"/>
      <c r="Z18" s="612"/>
      <c r="AA18" s="612"/>
      <c r="AB18" s="652"/>
      <c r="AQ18" s="654"/>
      <c r="AR18" s="654"/>
      <c r="AS18" s="654"/>
      <c r="AT18" s="654"/>
      <c r="AU18" s="654"/>
      <c r="AV18" s="654"/>
      <c r="AW18" s="654"/>
      <c r="AX18" s="654"/>
      <c r="AY18" s="654"/>
      <c r="AZ18" s="654"/>
      <c r="BA18" s="654"/>
      <c r="BB18" s="654"/>
      <c r="BC18" s="654"/>
      <c r="BD18" s="654"/>
      <c r="BE18" s="654"/>
      <c r="BF18" s="654"/>
      <c r="BG18" s="654"/>
      <c r="BH18" s="654"/>
      <c r="BI18" s="654"/>
      <c r="BJ18" s="654"/>
      <c r="BK18" s="654"/>
      <c r="BL18" s="654"/>
      <c r="BM18" s="654"/>
      <c r="BN18" s="654"/>
      <c r="BO18" s="654"/>
      <c r="BP18" s="654"/>
      <c r="BQ18" s="654"/>
      <c r="BR18" s="654"/>
    </row>
    <row r="19" spans="1:70" ht="15.75">
      <c r="A19" s="606"/>
      <c r="B19" s="613"/>
      <c r="C19" s="613"/>
      <c r="D19" s="644"/>
      <c r="E19" s="645"/>
      <c r="F19" s="645"/>
      <c r="G19" s="645"/>
      <c r="H19" s="645"/>
      <c r="I19" s="645"/>
      <c r="J19" s="645"/>
      <c r="K19" s="645"/>
      <c r="L19" s="645"/>
      <c r="M19" s="645"/>
      <c r="N19" s="645"/>
      <c r="O19" s="646"/>
      <c r="P19" s="612"/>
      <c r="Q19" s="612"/>
      <c r="R19" s="612"/>
      <c r="S19" s="612"/>
      <c r="T19" s="612"/>
      <c r="U19" s="612"/>
      <c r="V19" s="612"/>
      <c r="W19" s="612"/>
      <c r="X19" s="612"/>
      <c r="Y19" s="612"/>
      <c r="Z19" s="612"/>
      <c r="AA19" s="612"/>
      <c r="AB19" s="652"/>
      <c r="AQ19" s="654"/>
      <c r="AR19" s="654"/>
      <c r="AS19" s="654"/>
      <c r="AT19" s="654"/>
      <c r="AU19" s="654"/>
      <c r="AV19" s="654"/>
      <c r="AW19" s="654"/>
      <c r="AX19" s="654"/>
      <c r="AY19" s="654"/>
      <c r="AZ19" s="654"/>
      <c r="BA19" s="654"/>
      <c r="BB19" s="654"/>
      <c r="BC19" s="654"/>
      <c r="BD19" s="654"/>
      <c r="BE19" s="654"/>
      <c r="BF19" s="654"/>
      <c r="BG19" s="654"/>
      <c r="BH19" s="654"/>
      <c r="BI19" s="654"/>
      <c r="BJ19" s="654"/>
      <c r="BK19" s="654"/>
      <c r="BL19" s="654"/>
      <c r="BM19" s="654"/>
      <c r="BN19" s="654"/>
      <c r="BO19" s="654"/>
      <c r="BP19" s="654"/>
      <c r="BQ19" s="654"/>
      <c r="BR19" s="654"/>
    </row>
    <row r="20" spans="1:70" ht="39" customHeight="1">
      <c r="A20" s="606"/>
      <c r="B20" s="613"/>
      <c r="C20" s="613"/>
      <c r="D20" s="612" t="s">
        <v>440</v>
      </c>
      <c r="E20" s="612"/>
      <c r="F20" s="612"/>
      <c r="G20" s="612"/>
      <c r="H20" s="612"/>
      <c r="I20" s="612"/>
      <c r="J20" s="556" t="s">
        <v>623</v>
      </c>
      <c r="K20" s="556"/>
      <c r="L20" s="556"/>
      <c r="M20" s="556"/>
      <c r="N20" s="556"/>
      <c r="O20" s="556"/>
      <c r="P20" s="612" t="s">
        <v>440</v>
      </c>
      <c r="Q20" s="612"/>
      <c r="R20" s="612"/>
      <c r="S20" s="612"/>
      <c r="T20" s="612"/>
      <c r="U20" s="612"/>
      <c r="V20" s="556" t="s">
        <v>623</v>
      </c>
      <c r="W20" s="556"/>
      <c r="X20" s="556"/>
      <c r="Y20" s="556"/>
      <c r="Z20" s="556"/>
      <c r="AA20" s="556"/>
      <c r="AB20" s="652"/>
      <c r="AQ20" s="655"/>
      <c r="AR20" s="655"/>
      <c r="AS20" s="655"/>
      <c r="AT20" s="655"/>
      <c r="AU20" s="655"/>
      <c r="AV20" s="655"/>
      <c r="AW20" s="655"/>
      <c r="AX20" s="655"/>
      <c r="AY20" s="655"/>
      <c r="AZ20" s="655"/>
      <c r="BA20" s="655"/>
      <c r="BB20" s="655"/>
      <c r="BC20" s="655"/>
      <c r="BD20" s="655"/>
      <c r="BE20" s="655"/>
      <c r="BF20" s="655"/>
      <c r="BG20" s="655"/>
      <c r="BH20" s="655"/>
      <c r="BI20" s="655"/>
      <c r="BJ20" s="655"/>
      <c r="BK20" s="655"/>
      <c r="BL20" s="642"/>
      <c r="BM20" s="642"/>
      <c r="BN20" s="642"/>
      <c r="BO20" s="642"/>
      <c r="BP20" s="642"/>
      <c r="BQ20" s="642"/>
      <c r="BR20" s="642"/>
    </row>
    <row r="21" spans="1:70" ht="54.75" customHeight="1" thickBot="1">
      <c r="A21" s="607"/>
      <c r="B21" s="614"/>
      <c r="C21" s="614"/>
      <c r="D21" s="244" t="s">
        <v>497</v>
      </c>
      <c r="E21" s="244" t="s">
        <v>427</v>
      </c>
      <c r="F21" s="244" t="s">
        <v>428</v>
      </c>
      <c r="G21" s="176" t="s">
        <v>93</v>
      </c>
      <c r="H21" s="244" t="s">
        <v>424</v>
      </c>
      <c r="I21" s="244" t="s">
        <v>6</v>
      </c>
      <c r="J21" s="244" t="s">
        <v>497</v>
      </c>
      <c r="K21" s="244" t="s">
        <v>427</v>
      </c>
      <c r="L21" s="244" t="s">
        <v>428</v>
      </c>
      <c r="M21" s="176" t="s">
        <v>93</v>
      </c>
      <c r="N21" s="244" t="s">
        <v>424</v>
      </c>
      <c r="O21" s="244" t="s">
        <v>6</v>
      </c>
      <c r="P21" s="244" t="s">
        <v>497</v>
      </c>
      <c r="Q21" s="244" t="s">
        <v>427</v>
      </c>
      <c r="R21" s="244" t="s">
        <v>428</v>
      </c>
      <c r="S21" s="176" t="s">
        <v>93</v>
      </c>
      <c r="T21" s="244" t="s">
        <v>424</v>
      </c>
      <c r="U21" s="244" t="s">
        <v>6</v>
      </c>
      <c r="V21" s="244" t="s">
        <v>497</v>
      </c>
      <c r="W21" s="244" t="s">
        <v>427</v>
      </c>
      <c r="X21" s="244" t="s">
        <v>428</v>
      </c>
      <c r="Y21" s="176" t="s">
        <v>93</v>
      </c>
      <c r="Z21" s="244" t="s">
        <v>424</v>
      </c>
      <c r="AA21" s="244" t="s">
        <v>6</v>
      </c>
      <c r="AB21" s="653"/>
      <c r="AQ21" s="64"/>
      <c r="AR21" s="64"/>
      <c r="AS21" s="64"/>
      <c r="AT21" s="24"/>
      <c r="AU21" s="24"/>
      <c r="AV21" s="24"/>
      <c r="AW21" s="64"/>
      <c r="AX21" s="64"/>
      <c r="AY21" s="64"/>
      <c r="AZ21" s="64"/>
      <c r="BA21" s="24"/>
      <c r="BB21" s="24"/>
      <c r="BC21" s="24"/>
      <c r="BD21" s="64"/>
      <c r="BE21" s="64"/>
      <c r="BF21" s="64"/>
      <c r="BG21" s="64"/>
      <c r="BH21" s="24"/>
      <c r="BI21" s="24"/>
      <c r="BJ21" s="24"/>
      <c r="BK21" s="64"/>
      <c r="BL21" s="64"/>
      <c r="BM21" s="64"/>
      <c r="BN21" s="64"/>
      <c r="BO21" s="24"/>
      <c r="BP21" s="24"/>
      <c r="BQ21" s="24"/>
      <c r="BR21" s="64"/>
    </row>
    <row r="22" spans="1:70" ht="16.5" thickBot="1">
      <c r="A22" s="246">
        <v>1</v>
      </c>
      <c r="B22" s="247">
        <v>2</v>
      </c>
      <c r="C22" s="247">
        <v>3</v>
      </c>
      <c r="D22" s="248" t="s">
        <v>540</v>
      </c>
      <c r="E22" s="248" t="s">
        <v>541</v>
      </c>
      <c r="F22" s="248" t="s">
        <v>542</v>
      </c>
      <c r="G22" s="248" t="s">
        <v>543</v>
      </c>
      <c r="H22" s="248" t="s">
        <v>544</v>
      </c>
      <c r="I22" s="248" t="s">
        <v>545</v>
      </c>
      <c r="J22" s="248" t="s">
        <v>33</v>
      </c>
      <c r="K22" s="248" t="s">
        <v>34</v>
      </c>
      <c r="L22" s="248" t="s">
        <v>35</v>
      </c>
      <c r="M22" s="248" t="s">
        <v>36</v>
      </c>
      <c r="N22" s="248" t="s">
        <v>37</v>
      </c>
      <c r="O22" s="248" t="s">
        <v>38</v>
      </c>
      <c r="P22" s="248" t="s">
        <v>57</v>
      </c>
      <c r="Q22" s="248" t="s">
        <v>58</v>
      </c>
      <c r="R22" s="248" t="s">
        <v>59</v>
      </c>
      <c r="S22" s="248" t="s">
        <v>60</v>
      </c>
      <c r="T22" s="248" t="s">
        <v>61</v>
      </c>
      <c r="U22" s="248" t="s">
        <v>62</v>
      </c>
      <c r="V22" s="248" t="s">
        <v>64</v>
      </c>
      <c r="W22" s="248" t="s">
        <v>65</v>
      </c>
      <c r="X22" s="248" t="s">
        <v>66</v>
      </c>
      <c r="Y22" s="248" t="s">
        <v>67</v>
      </c>
      <c r="Z22" s="248" t="s">
        <v>68</v>
      </c>
      <c r="AA22" s="248" t="s">
        <v>69</v>
      </c>
      <c r="AB22" s="249" t="s">
        <v>536</v>
      </c>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row>
    <row r="23" spans="1:70" s="2" customFormat="1" ht="15.75">
      <c r="A23" s="323"/>
      <c r="B23" s="194" t="s">
        <v>475</v>
      </c>
      <c r="C23" s="324" t="s">
        <v>261</v>
      </c>
      <c r="D23" s="261"/>
      <c r="E23" s="218">
        <f>SUM(E24:E29)</f>
        <v>1.38</v>
      </c>
      <c r="F23" s="218">
        <f>SUM(F24:F29)</f>
        <v>0</v>
      </c>
      <c r="G23" s="218">
        <f>SUM(G24:G29)</f>
        <v>18.947000000000003</v>
      </c>
      <c r="H23" s="218">
        <f>SUM(H24:H29)</f>
        <v>0</v>
      </c>
      <c r="I23" s="218">
        <f>SUM(I24:I29)</f>
        <v>0</v>
      </c>
      <c r="J23" s="261"/>
      <c r="K23" s="218">
        <f>SUM(K24:K29)</f>
        <v>1.38</v>
      </c>
      <c r="L23" s="218">
        <f>SUM(L24:L29)</f>
        <v>0</v>
      </c>
      <c r="M23" s="218">
        <f>SUM(M24:M29)</f>
        <v>18.947000000000003</v>
      </c>
      <c r="N23" s="218">
        <f>SUM(N24:N29)</f>
        <v>0</v>
      </c>
      <c r="O23" s="218">
        <f>SUM(O24:O29)</f>
        <v>0</v>
      </c>
      <c r="P23" s="261"/>
      <c r="Q23" s="218">
        <f>SUM(Q24:Q29)</f>
        <v>1.38</v>
      </c>
      <c r="R23" s="218">
        <f>SUM(R24:R29)</f>
        <v>0</v>
      </c>
      <c r="S23" s="218">
        <f>SUM(S24:S29)</f>
        <v>18.947000000000003</v>
      </c>
      <c r="T23" s="218">
        <f>SUM(T24:T29)</f>
        <v>0</v>
      </c>
      <c r="U23" s="218">
        <f>SUM(U24:U29)</f>
        <v>0</v>
      </c>
      <c r="V23" s="261"/>
      <c r="W23" s="218">
        <f>SUM(W24:W29)</f>
        <v>1.38</v>
      </c>
      <c r="X23" s="218">
        <f>SUM(X24:X29)</f>
        <v>0</v>
      </c>
      <c r="Y23" s="218">
        <f>SUM(Y24:Y29)</f>
        <v>18.947000000000003</v>
      </c>
      <c r="Z23" s="218">
        <f>SUM(Z24:Z29)</f>
        <v>0</v>
      </c>
      <c r="AA23" s="218">
        <f>SUM(AA24:AA29)</f>
        <v>0</v>
      </c>
      <c r="AB23" s="262"/>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row>
    <row r="24" spans="1:70" s="2" customFormat="1" ht="15.75">
      <c r="A24" s="207" t="s">
        <v>476</v>
      </c>
      <c r="B24" s="159" t="s">
        <v>477</v>
      </c>
      <c r="C24" s="173" t="s">
        <v>261</v>
      </c>
      <c r="D24" s="104"/>
      <c r="E24" s="141">
        <v>0</v>
      </c>
      <c r="F24" s="141">
        <v>0</v>
      </c>
      <c r="G24" s="141">
        <f>G52</f>
        <v>5.628</v>
      </c>
      <c r="H24" s="141">
        <v>0</v>
      </c>
      <c r="I24" s="141">
        <v>0</v>
      </c>
      <c r="J24" s="104"/>
      <c r="K24" s="141">
        <v>0</v>
      </c>
      <c r="L24" s="141">
        <v>0</v>
      </c>
      <c r="M24" s="141">
        <v>0</v>
      </c>
      <c r="N24" s="141">
        <v>0</v>
      </c>
      <c r="O24" s="141">
        <v>0</v>
      </c>
      <c r="P24" s="104"/>
      <c r="Q24" s="141">
        <v>0</v>
      </c>
      <c r="R24" s="141">
        <v>0</v>
      </c>
      <c r="S24" s="141">
        <f>S52</f>
        <v>5.628</v>
      </c>
      <c r="T24" s="141">
        <v>0</v>
      </c>
      <c r="U24" s="141">
        <v>0</v>
      </c>
      <c r="V24" s="104"/>
      <c r="W24" s="141">
        <v>0</v>
      </c>
      <c r="X24" s="141">
        <v>0</v>
      </c>
      <c r="Y24" s="141">
        <v>0</v>
      </c>
      <c r="Z24" s="141">
        <v>0</v>
      </c>
      <c r="AA24" s="141">
        <v>0</v>
      </c>
      <c r="AB24" s="236"/>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row>
    <row r="25" spans="1:70" s="2" customFormat="1" ht="15.75">
      <c r="A25" s="207" t="s">
        <v>478</v>
      </c>
      <c r="B25" s="159" t="s">
        <v>479</v>
      </c>
      <c r="C25" s="173" t="s">
        <v>261</v>
      </c>
      <c r="D25" s="104"/>
      <c r="E25" s="141">
        <f>E30</f>
        <v>0</v>
      </c>
      <c r="F25" s="141">
        <f>F30</f>
        <v>0</v>
      </c>
      <c r="G25" s="141">
        <f>G30</f>
        <v>11.075000000000001</v>
      </c>
      <c r="H25" s="141">
        <f>H30</f>
        <v>0</v>
      </c>
      <c r="I25" s="141">
        <f>I30</f>
        <v>0</v>
      </c>
      <c r="J25" s="104"/>
      <c r="K25" s="141">
        <f>K30</f>
        <v>0</v>
      </c>
      <c r="L25" s="141">
        <f>L30</f>
        <v>0</v>
      </c>
      <c r="M25" s="141">
        <f>M30</f>
        <v>11.075000000000001</v>
      </c>
      <c r="N25" s="141">
        <f>N30</f>
        <v>0</v>
      </c>
      <c r="O25" s="141">
        <f>O30</f>
        <v>0</v>
      </c>
      <c r="P25" s="104"/>
      <c r="Q25" s="141">
        <f>Q30</f>
        <v>0</v>
      </c>
      <c r="R25" s="141">
        <f>R30</f>
        <v>0</v>
      </c>
      <c r="S25" s="141">
        <f>S30</f>
        <v>11.075000000000001</v>
      </c>
      <c r="T25" s="141">
        <f>T30</f>
        <v>0</v>
      </c>
      <c r="U25" s="141">
        <f>U30</f>
        <v>0</v>
      </c>
      <c r="V25" s="104"/>
      <c r="W25" s="141">
        <f>W30</f>
        <v>0</v>
      </c>
      <c r="X25" s="141">
        <f>X30</f>
        <v>0</v>
      </c>
      <c r="Y25" s="141">
        <f>Y30</f>
        <v>11.075000000000001</v>
      </c>
      <c r="Z25" s="141">
        <f>Z30</f>
        <v>0</v>
      </c>
      <c r="AA25" s="141">
        <f>AA30</f>
        <v>0</v>
      </c>
      <c r="AB25" s="236"/>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row>
    <row r="26" spans="1:70" s="2" customFormat="1" ht="15.75">
      <c r="A26" s="207" t="s">
        <v>480</v>
      </c>
      <c r="B26" s="159" t="s">
        <v>481</v>
      </c>
      <c r="C26" s="173" t="s">
        <v>261</v>
      </c>
      <c r="D26" s="104"/>
      <c r="E26" s="141">
        <v>0</v>
      </c>
      <c r="F26" s="141">
        <v>0</v>
      </c>
      <c r="G26" s="141">
        <v>0</v>
      </c>
      <c r="H26" s="141">
        <v>0</v>
      </c>
      <c r="I26" s="141">
        <v>0</v>
      </c>
      <c r="J26" s="104"/>
      <c r="K26" s="141">
        <v>0</v>
      </c>
      <c r="L26" s="141">
        <v>0</v>
      </c>
      <c r="M26" s="141">
        <v>0</v>
      </c>
      <c r="N26" s="141">
        <v>0</v>
      </c>
      <c r="O26" s="141">
        <v>0</v>
      </c>
      <c r="P26" s="104"/>
      <c r="Q26" s="141">
        <v>0</v>
      </c>
      <c r="R26" s="141">
        <v>0</v>
      </c>
      <c r="S26" s="141">
        <v>0</v>
      </c>
      <c r="T26" s="141">
        <v>0</v>
      </c>
      <c r="U26" s="141">
        <v>0</v>
      </c>
      <c r="V26" s="104"/>
      <c r="W26" s="141">
        <v>0</v>
      </c>
      <c r="X26" s="141">
        <v>0</v>
      </c>
      <c r="Y26" s="141">
        <v>0</v>
      </c>
      <c r="Z26" s="141">
        <v>0</v>
      </c>
      <c r="AA26" s="141">
        <v>0</v>
      </c>
      <c r="AB26" s="236"/>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row>
    <row r="27" spans="1:70" s="2" customFormat="1" ht="15.75">
      <c r="A27" s="207" t="s">
        <v>482</v>
      </c>
      <c r="B27" s="159" t="s">
        <v>483</v>
      </c>
      <c r="C27" s="173" t="s">
        <v>261</v>
      </c>
      <c r="D27" s="104"/>
      <c r="E27" s="141">
        <f>E49</f>
        <v>1.38</v>
      </c>
      <c r="F27" s="141">
        <f>F49</f>
        <v>0</v>
      </c>
      <c r="G27" s="141">
        <f>G50</f>
        <v>2.244</v>
      </c>
      <c r="H27" s="141">
        <f>H49</f>
        <v>0</v>
      </c>
      <c r="I27" s="141">
        <f>I49</f>
        <v>0</v>
      </c>
      <c r="J27" s="104"/>
      <c r="K27" s="141">
        <f>K49</f>
        <v>1.38</v>
      </c>
      <c r="L27" s="141">
        <f>L49</f>
        <v>0</v>
      </c>
      <c r="M27" s="141">
        <f>M49</f>
        <v>7.872</v>
      </c>
      <c r="N27" s="141">
        <f>N49</f>
        <v>0</v>
      </c>
      <c r="O27" s="141">
        <f>O49</f>
        <v>0</v>
      </c>
      <c r="P27" s="104"/>
      <c r="Q27" s="141">
        <f>Q49</f>
        <v>1.38</v>
      </c>
      <c r="R27" s="141">
        <f>R49</f>
        <v>0</v>
      </c>
      <c r="S27" s="141">
        <f>S50</f>
        <v>2.244</v>
      </c>
      <c r="T27" s="141">
        <f>T49</f>
        <v>0</v>
      </c>
      <c r="U27" s="141">
        <f>U49</f>
        <v>0</v>
      </c>
      <c r="V27" s="104"/>
      <c r="W27" s="141">
        <f>W49</f>
        <v>1.38</v>
      </c>
      <c r="X27" s="141">
        <f>X49</f>
        <v>0</v>
      </c>
      <c r="Y27" s="141">
        <f>Y49</f>
        <v>7.872</v>
      </c>
      <c r="Z27" s="141">
        <f>Z49</f>
        <v>0</v>
      </c>
      <c r="AA27" s="141">
        <f>AA49</f>
        <v>0</v>
      </c>
      <c r="AB27" s="236"/>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row>
    <row r="28" spans="1:70" s="2" customFormat="1" ht="15.75">
      <c r="A28" s="207" t="s">
        <v>484</v>
      </c>
      <c r="B28" s="160" t="s">
        <v>485</v>
      </c>
      <c r="C28" s="173" t="s">
        <v>261</v>
      </c>
      <c r="D28" s="104"/>
      <c r="E28" s="141">
        <v>0</v>
      </c>
      <c r="F28" s="141">
        <v>0</v>
      </c>
      <c r="G28" s="141">
        <v>0</v>
      </c>
      <c r="H28" s="141">
        <v>0</v>
      </c>
      <c r="I28" s="141">
        <v>0</v>
      </c>
      <c r="J28" s="104"/>
      <c r="K28" s="141">
        <v>0</v>
      </c>
      <c r="L28" s="141">
        <v>0</v>
      </c>
      <c r="M28" s="141">
        <v>0</v>
      </c>
      <c r="N28" s="141">
        <v>0</v>
      </c>
      <c r="O28" s="141">
        <v>0</v>
      </c>
      <c r="P28" s="104"/>
      <c r="Q28" s="141">
        <v>0</v>
      </c>
      <c r="R28" s="141">
        <v>0</v>
      </c>
      <c r="S28" s="141">
        <v>0</v>
      </c>
      <c r="T28" s="141">
        <v>0</v>
      </c>
      <c r="U28" s="141">
        <v>0</v>
      </c>
      <c r="V28" s="104"/>
      <c r="W28" s="141">
        <v>0</v>
      </c>
      <c r="X28" s="141">
        <v>0</v>
      </c>
      <c r="Y28" s="141">
        <v>0</v>
      </c>
      <c r="Z28" s="141">
        <v>0</v>
      </c>
      <c r="AA28" s="141">
        <v>0</v>
      </c>
      <c r="AB28" s="236"/>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row>
    <row r="29" spans="1:70" s="2" customFormat="1" ht="15.75">
      <c r="A29" s="207" t="s">
        <v>486</v>
      </c>
      <c r="B29" s="160" t="s">
        <v>487</v>
      </c>
      <c r="C29" s="173" t="s">
        <v>261</v>
      </c>
      <c r="D29" s="104"/>
      <c r="E29" s="141">
        <f>E45</f>
        <v>0</v>
      </c>
      <c r="F29" s="141">
        <f>F45</f>
        <v>0</v>
      </c>
      <c r="G29" s="141">
        <f>G45</f>
        <v>0</v>
      </c>
      <c r="H29" s="141">
        <f>H45</f>
        <v>0</v>
      </c>
      <c r="I29" s="141">
        <f>I45</f>
        <v>0</v>
      </c>
      <c r="J29" s="104"/>
      <c r="K29" s="141">
        <f>K45</f>
        <v>0</v>
      </c>
      <c r="L29" s="141">
        <f>L45</f>
        <v>0</v>
      </c>
      <c r="M29" s="141">
        <f>M45</f>
        <v>0</v>
      </c>
      <c r="N29" s="141">
        <f>N45</f>
        <v>0</v>
      </c>
      <c r="O29" s="141">
        <f>O45</f>
        <v>0</v>
      </c>
      <c r="P29" s="104"/>
      <c r="Q29" s="141">
        <f>Q45</f>
        <v>0</v>
      </c>
      <c r="R29" s="141">
        <f>R45</f>
        <v>0</v>
      </c>
      <c r="S29" s="141">
        <f>S45</f>
        <v>0</v>
      </c>
      <c r="T29" s="141">
        <f>T45</f>
        <v>0</v>
      </c>
      <c r="U29" s="141">
        <f>U45</f>
        <v>0</v>
      </c>
      <c r="V29" s="104"/>
      <c r="W29" s="141">
        <f>W45</f>
        <v>0</v>
      </c>
      <c r="X29" s="141">
        <f>X45</f>
        <v>0</v>
      </c>
      <c r="Y29" s="141">
        <f>Y45</f>
        <v>0</v>
      </c>
      <c r="Z29" s="141">
        <f>Z45</f>
        <v>0</v>
      </c>
      <c r="AA29" s="141">
        <f>AA45</f>
        <v>0</v>
      </c>
      <c r="AB29" s="236"/>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row>
    <row r="30" spans="1:70" s="2" customFormat="1" ht="15.75">
      <c r="A30" s="325">
        <v>1</v>
      </c>
      <c r="B30" s="161" t="s">
        <v>260</v>
      </c>
      <c r="C30" s="173" t="s">
        <v>261</v>
      </c>
      <c r="D30" s="104"/>
      <c r="E30" s="141">
        <f>E31+E42</f>
        <v>0</v>
      </c>
      <c r="F30" s="141">
        <f>F31+F42</f>
        <v>0</v>
      </c>
      <c r="G30" s="141">
        <f>G31+G42</f>
        <v>11.075000000000001</v>
      </c>
      <c r="H30" s="141">
        <f>H31+H42</f>
        <v>0</v>
      </c>
      <c r="I30" s="141">
        <f>I31+I42</f>
        <v>0</v>
      </c>
      <c r="J30" s="104"/>
      <c r="K30" s="141">
        <f>K31+K42</f>
        <v>0</v>
      </c>
      <c r="L30" s="141">
        <f>L31+L42</f>
        <v>0</v>
      </c>
      <c r="M30" s="141">
        <f>M31+M42</f>
        <v>11.075000000000001</v>
      </c>
      <c r="N30" s="141">
        <f>N31+N42</f>
        <v>0</v>
      </c>
      <c r="O30" s="141">
        <f>O31+O42</f>
        <v>0</v>
      </c>
      <c r="P30" s="104"/>
      <c r="Q30" s="141">
        <f>Q31+Q42</f>
        <v>0</v>
      </c>
      <c r="R30" s="141">
        <f>R31+R42</f>
        <v>0</v>
      </c>
      <c r="S30" s="141">
        <f>S31+S42</f>
        <v>11.075000000000001</v>
      </c>
      <c r="T30" s="141">
        <f>T31+T42</f>
        <v>0</v>
      </c>
      <c r="U30" s="141">
        <f>U31+U42</f>
        <v>0</v>
      </c>
      <c r="V30" s="104"/>
      <c r="W30" s="141">
        <f>W31+W42</f>
        <v>0</v>
      </c>
      <c r="X30" s="141">
        <f>X31+X42</f>
        <v>0</v>
      </c>
      <c r="Y30" s="141">
        <f>Y31+Y42</f>
        <v>11.075000000000001</v>
      </c>
      <c r="Z30" s="141">
        <f>Z31+Z42</f>
        <v>0</v>
      </c>
      <c r="AA30" s="141">
        <f>AA31+AA42</f>
        <v>0</v>
      </c>
      <c r="AB30" s="236"/>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row>
    <row r="31" spans="1:70" s="2" customFormat="1" ht="15.75">
      <c r="A31" s="207" t="s">
        <v>285</v>
      </c>
      <c r="B31" s="161" t="s">
        <v>263</v>
      </c>
      <c r="C31" s="173" t="s">
        <v>261</v>
      </c>
      <c r="D31" s="104"/>
      <c r="E31" s="141">
        <f>SUM(E32:E41)</f>
        <v>0</v>
      </c>
      <c r="F31" s="141">
        <f>SUM(F32:F41)</f>
        <v>0</v>
      </c>
      <c r="G31" s="141">
        <f>SUM(G32:G41)</f>
        <v>11.075000000000001</v>
      </c>
      <c r="H31" s="141">
        <f>SUM(H32:H41)</f>
        <v>0</v>
      </c>
      <c r="I31" s="141">
        <f>SUM(I32:I41)</f>
        <v>0</v>
      </c>
      <c r="J31" s="104"/>
      <c r="K31" s="141">
        <f>SUM(K32:K41)</f>
        <v>0</v>
      </c>
      <c r="L31" s="141">
        <f>SUM(L32:L41)</f>
        <v>0</v>
      </c>
      <c r="M31" s="141">
        <f>SUM(M32:M41)</f>
        <v>11.075000000000001</v>
      </c>
      <c r="N31" s="141">
        <f>SUM(N32:N41)</f>
        <v>0</v>
      </c>
      <c r="O31" s="141">
        <f>SUM(O32:O41)</f>
        <v>0</v>
      </c>
      <c r="P31" s="104"/>
      <c r="Q31" s="141">
        <f>SUM(Q32:Q41)</f>
        <v>0</v>
      </c>
      <c r="R31" s="141">
        <f>SUM(R32:R41)</f>
        <v>0</v>
      </c>
      <c r="S31" s="141">
        <f>SUM(S32:S41)</f>
        <v>11.075000000000001</v>
      </c>
      <c r="T31" s="141">
        <f>SUM(T32:T41)</f>
        <v>0</v>
      </c>
      <c r="U31" s="141">
        <f>SUM(U32:U41)</f>
        <v>0</v>
      </c>
      <c r="V31" s="104"/>
      <c r="W31" s="141">
        <f>SUM(W32:W41)</f>
        <v>0</v>
      </c>
      <c r="X31" s="141">
        <f>SUM(X32:X41)</f>
        <v>0</v>
      </c>
      <c r="Y31" s="141">
        <f>SUM(Y32:Y41)</f>
        <v>11.075000000000001</v>
      </c>
      <c r="Z31" s="141">
        <f>SUM(Z32:Z41)</f>
        <v>0</v>
      </c>
      <c r="AA31" s="141">
        <f>SUM(AA32:AA41)</f>
        <v>0</v>
      </c>
      <c r="AB31" s="236"/>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row>
    <row r="32" spans="1:70" s="2" customFormat="1" ht="15.75">
      <c r="A32" s="238" t="str">
        <f>1!A33</f>
        <v>1.1</v>
      </c>
      <c r="B32" s="171" t="str">
        <f>1!B33</f>
        <v>Реконструкция ВЛ-0,4 кВ ул.Шоссейная, п.Иноземцево, (и/н 0000467), СИП-2 3х50+1х54,6 - 0,418 км, СИП-2 3х35+1х54,6 - 0,366 км и СИП-4 2х16 - 0,575 км</v>
      </c>
      <c r="C32" s="104" t="str">
        <f>1!C33</f>
        <v>G_Gelezno_001</v>
      </c>
      <c r="D32" s="126"/>
      <c r="E32" s="126"/>
      <c r="F32" s="126"/>
      <c r="G32" s="126">
        <f>4!J35</f>
        <v>0.784</v>
      </c>
      <c r="H32" s="126"/>
      <c r="I32" s="126"/>
      <c r="J32" s="126"/>
      <c r="K32" s="126"/>
      <c r="L32" s="126"/>
      <c r="M32" s="126">
        <f>4!Q35</f>
        <v>0.784</v>
      </c>
      <c r="N32" s="126"/>
      <c r="O32" s="126"/>
      <c r="P32" s="126"/>
      <c r="Q32" s="126"/>
      <c r="R32" s="126"/>
      <c r="S32" s="126">
        <f>G32</f>
        <v>0.784</v>
      </c>
      <c r="T32" s="126"/>
      <c r="U32" s="126"/>
      <c r="V32" s="126"/>
      <c r="W32" s="126"/>
      <c r="X32" s="126"/>
      <c r="Y32" s="126">
        <f>M32</f>
        <v>0.784</v>
      </c>
      <c r="Z32" s="126"/>
      <c r="AA32" s="126"/>
      <c r="AB32" s="206" t="s">
        <v>247</v>
      </c>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row>
    <row r="33" spans="1:70" s="2" customFormat="1" ht="15.75">
      <c r="A33" s="238" t="str">
        <f>1!A34</f>
        <v>1.1</v>
      </c>
      <c r="B33" s="171" t="str">
        <f>1!B34</f>
        <v>Реконструкция ВЛ-0,4 кВ ул.Р.Люксембург, г.Железноводск, (и/н 0000305), СИП-2 3х35+1х54,6 - 0,367 км и СИП-4 2х16 - 0,45 км</v>
      </c>
      <c r="C33" s="104" t="str">
        <f>1!C34</f>
        <v>G_Gelezno_002</v>
      </c>
      <c r="D33" s="126"/>
      <c r="E33" s="126"/>
      <c r="F33" s="126"/>
      <c r="G33" s="126">
        <f>4!J36</f>
        <v>0.367</v>
      </c>
      <c r="H33" s="126"/>
      <c r="I33" s="126"/>
      <c r="J33" s="126"/>
      <c r="K33" s="126"/>
      <c r="L33" s="126"/>
      <c r="M33" s="126">
        <f>4!Q36</f>
        <v>0.367</v>
      </c>
      <c r="N33" s="126"/>
      <c r="O33" s="126"/>
      <c r="P33" s="126"/>
      <c r="Q33" s="126"/>
      <c r="R33" s="126"/>
      <c r="S33" s="126">
        <f aca="true" t="shared" si="0" ref="S33:S40">G33</f>
        <v>0.367</v>
      </c>
      <c r="T33" s="126"/>
      <c r="U33" s="126"/>
      <c r="V33" s="126"/>
      <c r="W33" s="126"/>
      <c r="X33" s="126"/>
      <c r="Y33" s="126">
        <f aca="true" t="shared" si="1" ref="Y33:Y40">M33</f>
        <v>0.367</v>
      </c>
      <c r="Z33" s="126"/>
      <c r="AA33" s="126"/>
      <c r="AB33" s="206" t="s">
        <v>247</v>
      </c>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row>
    <row r="34" spans="1:70" s="2" customFormat="1" ht="15.75">
      <c r="A34" s="238" t="str">
        <f>1!A35</f>
        <v>1.1</v>
      </c>
      <c r="B34" s="171" t="str">
        <f>1!B35</f>
        <v>Реконструкция ВЛ-0,4 кВ ул.Свободы, п.Иноземцево, (и/н 0000450 и 0000451), СИП-2 3х35+1х54,6 - 2,35 км и СИП-4 2х16 - 2,97 км</v>
      </c>
      <c r="C34" s="104" t="str">
        <f>1!C35</f>
        <v>G_Gelezno_003</v>
      </c>
      <c r="D34" s="126"/>
      <c r="E34" s="126"/>
      <c r="F34" s="126"/>
      <c r="G34" s="126">
        <f>4!J37</f>
        <v>2.35</v>
      </c>
      <c r="H34" s="126"/>
      <c r="I34" s="126"/>
      <c r="J34" s="126"/>
      <c r="K34" s="126"/>
      <c r="L34" s="126"/>
      <c r="M34" s="126">
        <f>4!Q37</f>
        <v>2.35</v>
      </c>
      <c r="N34" s="126"/>
      <c r="O34" s="126"/>
      <c r="P34" s="126"/>
      <c r="Q34" s="126"/>
      <c r="R34" s="126"/>
      <c r="S34" s="126">
        <f t="shared" si="0"/>
        <v>2.35</v>
      </c>
      <c r="T34" s="126"/>
      <c r="U34" s="126"/>
      <c r="V34" s="126"/>
      <c r="W34" s="126"/>
      <c r="X34" s="126"/>
      <c r="Y34" s="126">
        <f t="shared" si="1"/>
        <v>2.35</v>
      </c>
      <c r="Z34" s="126"/>
      <c r="AA34" s="126"/>
      <c r="AB34" s="206" t="s">
        <v>247</v>
      </c>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row>
    <row r="35" spans="1:70" s="2" customFormat="1" ht="15.75">
      <c r="A35" s="238" t="str">
        <f>1!A36</f>
        <v>1.1</v>
      </c>
      <c r="B35" s="171" t="str">
        <f>1!B36</f>
        <v>Реконструкция ВЛ-0,4 кВ ул.Свободы до озера (от ул.Шоссей-ной), п.Иноземцево, (и/н 0000453), СИП-2 3х35+1х54,6 - 2,26 км и СИП-4 2х16 - 2,17 км</v>
      </c>
      <c r="C35" s="104" t="str">
        <f>1!C36</f>
        <v>G_Gelezno_004</v>
      </c>
      <c r="D35" s="126"/>
      <c r="E35" s="126"/>
      <c r="F35" s="126"/>
      <c r="G35" s="126">
        <f>4!J38</f>
        <v>2.26</v>
      </c>
      <c r="H35" s="126"/>
      <c r="I35" s="126"/>
      <c r="J35" s="126"/>
      <c r="K35" s="126"/>
      <c r="L35" s="126"/>
      <c r="M35" s="126">
        <f>4!Q38</f>
        <v>2.26</v>
      </c>
      <c r="N35" s="126"/>
      <c r="O35" s="126"/>
      <c r="P35" s="126"/>
      <c r="Q35" s="126"/>
      <c r="R35" s="126"/>
      <c r="S35" s="126">
        <f t="shared" si="0"/>
        <v>2.26</v>
      </c>
      <c r="T35" s="126"/>
      <c r="U35" s="126"/>
      <c r="V35" s="126"/>
      <c r="W35" s="126"/>
      <c r="X35" s="126"/>
      <c r="Y35" s="126">
        <f t="shared" si="1"/>
        <v>2.26</v>
      </c>
      <c r="Z35" s="126"/>
      <c r="AA35" s="126"/>
      <c r="AB35" s="206" t="s">
        <v>247</v>
      </c>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row>
    <row r="36" spans="1:70" s="2" customFormat="1" ht="15.75">
      <c r="A36" s="238" t="str">
        <f>1!A37</f>
        <v>1.1</v>
      </c>
      <c r="B36" s="171" t="str">
        <f>1!B37</f>
        <v>Реконструкция ВЛ-0,4 кВ ул.60 лет Октября, п.Иноземцево, (и/н 0000329 и 0000330), СИП-2 3х35+1х54,6 - 0,836 км и СИП-4 2х16 - 2,2 км</v>
      </c>
      <c r="C36" s="104" t="str">
        <f>1!C37</f>
        <v>G_Gelezno_005</v>
      </c>
      <c r="D36" s="126"/>
      <c r="E36" s="126"/>
      <c r="F36" s="126"/>
      <c r="G36" s="126">
        <f>4!J39</f>
        <v>0.836</v>
      </c>
      <c r="H36" s="126"/>
      <c r="I36" s="126"/>
      <c r="J36" s="126"/>
      <c r="K36" s="126"/>
      <c r="L36" s="126"/>
      <c r="M36" s="126">
        <f>4!Q39</f>
        <v>0.836</v>
      </c>
      <c r="N36" s="126"/>
      <c r="O36" s="126"/>
      <c r="P36" s="126"/>
      <c r="Q36" s="126"/>
      <c r="R36" s="126"/>
      <c r="S36" s="126">
        <f t="shared" si="0"/>
        <v>0.836</v>
      </c>
      <c r="T36" s="126"/>
      <c r="U36" s="126"/>
      <c r="V36" s="126"/>
      <c r="W36" s="126"/>
      <c r="X36" s="126"/>
      <c r="Y36" s="126">
        <f t="shared" si="1"/>
        <v>0.836</v>
      </c>
      <c r="Z36" s="126"/>
      <c r="AA36" s="126"/>
      <c r="AB36" s="206" t="s">
        <v>247</v>
      </c>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row>
    <row r="37" spans="1:70" s="2" customFormat="1" ht="15.75">
      <c r="A37" s="238" t="str">
        <f>1!A38</f>
        <v>1.1</v>
      </c>
      <c r="B37" s="171" t="str">
        <f>1!B38</f>
        <v>Реконструкция ВЛ-0,4 кВ ул.К.Цеткин и/н 0000376  и  ул.Пушкина и/н 0000440 п.Иноземцево, СИП-2 3х35+1х54,6 - 2,02 км и СИП-4 2х16 - 1,42 км</v>
      </c>
      <c r="C37" s="104" t="str">
        <f>1!C38</f>
        <v>G_Gelezno_006</v>
      </c>
      <c r="D37" s="126"/>
      <c r="E37" s="126"/>
      <c r="F37" s="126"/>
      <c r="G37" s="126">
        <f>4!J40</f>
        <v>2.02</v>
      </c>
      <c r="H37" s="126"/>
      <c r="I37" s="126"/>
      <c r="J37" s="126"/>
      <c r="K37" s="126"/>
      <c r="L37" s="126"/>
      <c r="M37" s="126">
        <f>4!Q40</f>
        <v>2.02</v>
      </c>
      <c r="N37" s="126"/>
      <c r="O37" s="126"/>
      <c r="P37" s="126"/>
      <c r="Q37" s="126"/>
      <c r="R37" s="126"/>
      <c r="S37" s="126">
        <f t="shared" si="0"/>
        <v>2.02</v>
      </c>
      <c r="T37" s="126"/>
      <c r="U37" s="126"/>
      <c r="V37" s="126"/>
      <c r="W37" s="126"/>
      <c r="X37" s="126"/>
      <c r="Y37" s="126">
        <f t="shared" si="1"/>
        <v>2.02</v>
      </c>
      <c r="Z37" s="126"/>
      <c r="AA37" s="126"/>
      <c r="AB37" s="206" t="s">
        <v>247</v>
      </c>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row>
    <row r="38" spans="1:70" s="2" customFormat="1" ht="15.75">
      <c r="A38" s="238" t="str">
        <f>1!A39</f>
        <v>1.1</v>
      </c>
      <c r="B38" s="171" t="str">
        <f>1!B39</f>
        <v>Реконструкция ВЛ-0,4 кВ ул.Бахановича, г.Железноводск, (и/н 0000285), СИП-2 3х35+1х54,6 - 0,502км и СИП-4 2х16 - 0,784 км</v>
      </c>
      <c r="C38" s="104" t="str">
        <f>1!C39</f>
        <v>G_Gelezno_007</v>
      </c>
      <c r="D38" s="126"/>
      <c r="E38" s="126"/>
      <c r="F38" s="126"/>
      <c r="G38" s="126">
        <f>4!J41</f>
        <v>0.502</v>
      </c>
      <c r="H38" s="126"/>
      <c r="I38" s="126"/>
      <c r="J38" s="126"/>
      <c r="K38" s="126"/>
      <c r="L38" s="126"/>
      <c r="M38" s="126">
        <f>4!Q41</f>
        <v>0.502</v>
      </c>
      <c r="N38" s="126"/>
      <c r="O38" s="126"/>
      <c r="P38" s="126"/>
      <c r="Q38" s="126"/>
      <c r="R38" s="126"/>
      <c r="S38" s="126">
        <f t="shared" si="0"/>
        <v>0.502</v>
      </c>
      <c r="T38" s="126"/>
      <c r="U38" s="126"/>
      <c r="V38" s="126"/>
      <c r="W38" s="126"/>
      <c r="X38" s="126"/>
      <c r="Y38" s="126">
        <f t="shared" si="1"/>
        <v>0.502</v>
      </c>
      <c r="Z38" s="126"/>
      <c r="AA38" s="126"/>
      <c r="AB38" s="206" t="s">
        <v>247</v>
      </c>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row>
    <row r="39" spans="1:70" s="2" customFormat="1" ht="15.75">
      <c r="A39" s="238" t="str">
        <f>1!A40</f>
        <v>1.1</v>
      </c>
      <c r="B39" s="171" t="str">
        <f>1!B40</f>
        <v>Реконструкция ВЛ-0,4 кВ ул.Ивановская, г. Железноводск, (и/н 0000370 и 0000371 ), СИП-2 3х35+1х54,6 - 1,12 км и СИП-4 2х16 - 0,4 км</v>
      </c>
      <c r="C39" s="104" t="str">
        <f>1!C40</f>
        <v>G_Gelezno_008</v>
      </c>
      <c r="D39" s="126"/>
      <c r="E39" s="126"/>
      <c r="F39" s="126"/>
      <c r="G39" s="126">
        <f>4!J42</f>
        <v>1.12</v>
      </c>
      <c r="H39" s="126"/>
      <c r="I39" s="126"/>
      <c r="J39" s="126"/>
      <c r="K39" s="126"/>
      <c r="L39" s="126"/>
      <c r="M39" s="126">
        <f>4!Q42</f>
        <v>1.12</v>
      </c>
      <c r="N39" s="126"/>
      <c r="O39" s="126"/>
      <c r="P39" s="126"/>
      <c r="Q39" s="126"/>
      <c r="R39" s="126"/>
      <c r="S39" s="126">
        <f t="shared" si="0"/>
        <v>1.12</v>
      </c>
      <c r="T39" s="126"/>
      <c r="U39" s="126"/>
      <c r="V39" s="126"/>
      <c r="W39" s="126"/>
      <c r="X39" s="126"/>
      <c r="Y39" s="126">
        <f t="shared" si="1"/>
        <v>1.12</v>
      </c>
      <c r="Z39" s="126"/>
      <c r="AA39" s="126"/>
      <c r="AB39" s="206" t="s">
        <v>247</v>
      </c>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row>
    <row r="40" spans="1:70" s="2" customFormat="1" ht="15.75">
      <c r="A40" s="238" t="str">
        <f>1!A41</f>
        <v>1.1</v>
      </c>
      <c r="B40" s="171" t="str">
        <f>1!B41</f>
        <v>Реконструкция ВЛ-0,4 кВ ул.Бахановича от ул.Чапаева, г.Желез-новодск, (и/н 0000283), СИП-2 3х35+1х54,6 - 0,836 км и СИП-4 2х16 - 1,306 км</v>
      </c>
      <c r="C40" s="104" t="str">
        <f>1!C41</f>
        <v>G_Gelezno_009</v>
      </c>
      <c r="D40" s="126"/>
      <c r="E40" s="126"/>
      <c r="F40" s="126"/>
      <c r="G40" s="126">
        <f>4!J43</f>
        <v>0.836</v>
      </c>
      <c r="H40" s="126"/>
      <c r="I40" s="126"/>
      <c r="J40" s="126"/>
      <c r="K40" s="126"/>
      <c r="L40" s="126"/>
      <c r="M40" s="126">
        <f>4!Q43</f>
        <v>0.836</v>
      </c>
      <c r="N40" s="126"/>
      <c r="O40" s="126"/>
      <c r="P40" s="126"/>
      <c r="Q40" s="126"/>
      <c r="R40" s="126"/>
      <c r="S40" s="126">
        <f t="shared" si="0"/>
        <v>0.836</v>
      </c>
      <c r="T40" s="126"/>
      <c r="U40" s="126"/>
      <c r="V40" s="126"/>
      <c r="W40" s="126"/>
      <c r="X40" s="126"/>
      <c r="Y40" s="126">
        <f t="shared" si="1"/>
        <v>0.836</v>
      </c>
      <c r="Z40" s="126"/>
      <c r="AA40" s="126"/>
      <c r="AB40" s="206" t="s">
        <v>247</v>
      </c>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row>
    <row r="41" spans="1:70" s="2" customFormat="1" ht="9" customHeight="1">
      <c r="A41" s="238"/>
      <c r="B41" s="162"/>
      <c r="C41" s="125"/>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206"/>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row>
    <row r="42" spans="1:70" s="5" customFormat="1" ht="15.75">
      <c r="A42" s="239" t="str">
        <f>1!A43</f>
        <v>1.2</v>
      </c>
      <c r="B42" s="352" t="str">
        <f>1!B43</f>
        <v>Реконструкция трансформаторных и иных подстанций, всего, в том числе:</v>
      </c>
      <c r="C42" s="142" t="str">
        <f>1!C43</f>
        <v>Г</v>
      </c>
      <c r="D42" s="146"/>
      <c r="E42" s="141">
        <f>SUM(E43:E44)</f>
        <v>0</v>
      </c>
      <c r="F42" s="141">
        <f>SUM(F43:F44)</f>
        <v>0</v>
      </c>
      <c r="G42" s="141">
        <f>SUM(G43:G44)</f>
        <v>0</v>
      </c>
      <c r="H42" s="141">
        <f>SUM(H43:H44)</f>
        <v>0</v>
      </c>
      <c r="I42" s="141">
        <f>SUM(I43:I44)</f>
        <v>0</v>
      </c>
      <c r="J42" s="146"/>
      <c r="K42" s="141">
        <f>SUM(K43:K44)</f>
        <v>0</v>
      </c>
      <c r="L42" s="141">
        <f>SUM(L43:L44)</f>
        <v>0</v>
      </c>
      <c r="M42" s="141">
        <f>SUM(M43:M44)</f>
        <v>0</v>
      </c>
      <c r="N42" s="141">
        <f>SUM(N43:N44)</f>
        <v>0</v>
      </c>
      <c r="O42" s="141">
        <f>SUM(O43:O44)</f>
        <v>0</v>
      </c>
      <c r="P42" s="146"/>
      <c r="Q42" s="141">
        <f>SUM(Q43:Q44)</f>
        <v>0</v>
      </c>
      <c r="R42" s="141">
        <f>SUM(R43:R44)</f>
        <v>0</v>
      </c>
      <c r="S42" s="141">
        <f>SUM(S43:S44)</f>
        <v>0</v>
      </c>
      <c r="T42" s="141">
        <f>SUM(T43:T44)</f>
        <v>0</v>
      </c>
      <c r="U42" s="141">
        <f>SUM(U43:U44)</f>
        <v>0</v>
      </c>
      <c r="V42" s="146"/>
      <c r="W42" s="141">
        <f>SUM(W43:W44)</f>
        <v>0</v>
      </c>
      <c r="X42" s="141">
        <f>SUM(X43:X44)</f>
        <v>0</v>
      </c>
      <c r="Y42" s="141">
        <f>SUM(Y43:Y44)</f>
        <v>0</v>
      </c>
      <c r="Z42" s="141">
        <f>SUM(Z43:Z44)</f>
        <v>0</v>
      </c>
      <c r="AA42" s="141">
        <f>SUM(AA43:AA44)</f>
        <v>0</v>
      </c>
      <c r="AB42" s="208"/>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row>
    <row r="43" spans="1:70" s="2" customFormat="1" ht="15.75">
      <c r="A43" s="238" t="str">
        <f>1!A44</f>
        <v>1.2</v>
      </c>
      <c r="B43" s="162" t="str">
        <f>1!B44</f>
        <v>Реконструкция в ТП-187  (и/н 0001379) (камера сборная серии КСО-393-13-400 - 1 шт. и камера сборная серии КСО-393-01 - 1шт.)</v>
      </c>
      <c r="C43" s="104" t="str">
        <f>1!C44</f>
        <v>G_Gelezno_010</v>
      </c>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206" t="s">
        <v>247</v>
      </c>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row>
    <row r="44" spans="1:70" s="2" customFormat="1" ht="8.25" customHeight="1">
      <c r="A44" s="238"/>
      <c r="B44" s="162"/>
      <c r="C44" s="162"/>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206"/>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row>
    <row r="45" spans="1:70" s="5" customFormat="1" ht="15.75">
      <c r="A45" s="239" t="str">
        <f>1!A46</f>
        <v>1.3</v>
      </c>
      <c r="B45" s="352" t="str">
        <f>1!B46</f>
        <v>Прочие инвестиционные проекты, всего, в том числе:</v>
      </c>
      <c r="C45" s="142" t="str">
        <f>1!C46</f>
        <v>Г</v>
      </c>
      <c r="D45" s="146"/>
      <c r="E45" s="141">
        <f>SUM(E46:E48)</f>
        <v>0</v>
      </c>
      <c r="F45" s="141">
        <f>SUM(F46:F48)</f>
        <v>0</v>
      </c>
      <c r="G45" s="141">
        <f>SUM(G46:G48)</f>
        <v>0</v>
      </c>
      <c r="H45" s="141">
        <f>SUM(H46:H48)</f>
        <v>0</v>
      </c>
      <c r="I45" s="141">
        <f>SUM(I46:I48)</f>
        <v>0</v>
      </c>
      <c r="J45" s="146"/>
      <c r="K45" s="141">
        <f>SUM(K46:K48)</f>
        <v>0</v>
      </c>
      <c r="L45" s="141">
        <f>SUM(L46:L48)</f>
        <v>0</v>
      </c>
      <c r="M45" s="141">
        <f>SUM(M46:M48)</f>
        <v>0</v>
      </c>
      <c r="N45" s="141">
        <f>SUM(N46:N48)</f>
        <v>0</v>
      </c>
      <c r="O45" s="141">
        <f>SUM(O46:O48)</f>
        <v>0</v>
      </c>
      <c r="P45" s="146"/>
      <c r="Q45" s="141">
        <f>SUM(Q46:Q48)</f>
        <v>0</v>
      </c>
      <c r="R45" s="141">
        <f>SUM(R46:R48)</f>
        <v>0</v>
      </c>
      <c r="S45" s="141">
        <f>SUM(S46:S48)</f>
        <v>0</v>
      </c>
      <c r="T45" s="141">
        <f>SUM(T46:T48)</f>
        <v>0</v>
      </c>
      <c r="U45" s="141">
        <f>SUM(U46:U48)</f>
        <v>0</v>
      </c>
      <c r="V45" s="146"/>
      <c r="W45" s="141">
        <f>SUM(W46:W48)</f>
        <v>0</v>
      </c>
      <c r="X45" s="141">
        <f>SUM(X46:X48)</f>
        <v>0</v>
      </c>
      <c r="Y45" s="141">
        <f>SUM(Y46:Y48)</f>
        <v>0</v>
      </c>
      <c r="Z45" s="141">
        <f>SUM(Z46:Z48)</f>
        <v>0</v>
      </c>
      <c r="AA45" s="141">
        <f>SUM(AA46:AA48)</f>
        <v>0</v>
      </c>
      <c r="AB45" s="208"/>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row>
    <row r="46" spans="1:70" s="2" customFormat="1" ht="15.75">
      <c r="A46" s="238" t="str">
        <f>1!A47</f>
        <v>1.3</v>
      </c>
      <c r="B46" s="162" t="str">
        <f>1!B47</f>
        <v>Внутренний контур системы коммерческого учёта АСКУЭ   в   ТП-40; 15; 185; 28; 9  и  РП-3; 4; 5; 6.</v>
      </c>
      <c r="C46" s="104" t="str">
        <f>1!C47</f>
        <v>G_Gelezno_011</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206" t="s">
        <v>247</v>
      </c>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row>
    <row r="47" spans="1:70" s="2" customFormat="1" ht="15.75">
      <c r="A47" s="238" t="str">
        <f>1!A48</f>
        <v>1.3</v>
      </c>
      <c r="B47" s="162" t="str">
        <f>1!B48</f>
        <v>Оборудование, не требующее монтажа</v>
      </c>
      <c r="C47" s="104" t="str">
        <f>1!C48</f>
        <v>G_Gelezno_012</v>
      </c>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206" t="s">
        <v>247</v>
      </c>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row>
    <row r="48" spans="1:70" s="2" customFormat="1" ht="9" customHeight="1">
      <c r="A48" s="238"/>
      <c r="B48" s="162"/>
      <c r="C48" s="125"/>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206"/>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row>
    <row r="49" spans="1:70" s="5" customFormat="1" ht="15.75">
      <c r="A49" s="239" t="str">
        <f>1!A50</f>
        <v>1.4</v>
      </c>
      <c r="B49" s="352" t="str">
        <f>1!B50</f>
        <v>Новое строительство, всего, в том числе:</v>
      </c>
      <c r="C49" s="142" t="str">
        <f>1!C50</f>
        <v>Г</v>
      </c>
      <c r="D49" s="146"/>
      <c r="E49" s="141">
        <f>SUM(E51:E90)</f>
        <v>1.38</v>
      </c>
      <c r="F49" s="141">
        <f>SUM(F51:F90)</f>
        <v>0</v>
      </c>
      <c r="G49" s="141">
        <f>G50+G52</f>
        <v>7.872</v>
      </c>
      <c r="H49" s="141">
        <f>SUM(H51:H90)</f>
        <v>0</v>
      </c>
      <c r="I49" s="141">
        <f>SUM(I51:I90)</f>
        <v>0</v>
      </c>
      <c r="J49" s="146"/>
      <c r="K49" s="141">
        <f>SUM(K51:K90)</f>
        <v>1.38</v>
      </c>
      <c r="L49" s="141">
        <f>SUM(L51:L90)</f>
        <v>0</v>
      </c>
      <c r="M49" s="141">
        <f>M52+M50</f>
        <v>7.872</v>
      </c>
      <c r="N49" s="141">
        <f>SUM(N51:N90)</f>
        <v>0</v>
      </c>
      <c r="O49" s="141">
        <f>SUM(O51:O90)</f>
        <v>0</v>
      </c>
      <c r="P49" s="146"/>
      <c r="Q49" s="141">
        <f>SUM(Q51:Q90)</f>
        <v>1.38</v>
      </c>
      <c r="R49" s="141">
        <f>SUM(R51:R90)</f>
        <v>0</v>
      </c>
      <c r="S49" s="141">
        <f>S50+S52</f>
        <v>7.872</v>
      </c>
      <c r="T49" s="141">
        <f>SUM(T51:T90)</f>
        <v>0</v>
      </c>
      <c r="U49" s="141">
        <f>SUM(U51:U90)</f>
        <v>0</v>
      </c>
      <c r="V49" s="146"/>
      <c r="W49" s="141">
        <f>SUM(W51:W90)</f>
        <v>1.38</v>
      </c>
      <c r="X49" s="141">
        <f>SUM(X51:X90)</f>
        <v>0</v>
      </c>
      <c r="Y49" s="141">
        <f>Y50+Y52</f>
        <v>7.872</v>
      </c>
      <c r="Z49" s="141">
        <f>SUM(Z51:Z90)</f>
        <v>0</v>
      </c>
      <c r="AA49" s="141">
        <f>SUM(AA51:AA90)</f>
        <v>0</v>
      </c>
      <c r="AB49" s="208"/>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row>
    <row r="50" spans="1:70" s="5" customFormat="1" ht="15.75">
      <c r="A50" s="239" t="str">
        <f>1!A51</f>
        <v>1.4.1</v>
      </c>
      <c r="B50" s="352" t="str">
        <f>1!B51</f>
        <v>Прочее новое строительство объектов электросетевого хозяйства</v>
      </c>
      <c r="C50" s="104"/>
      <c r="D50" s="146"/>
      <c r="E50" s="141"/>
      <c r="F50" s="141"/>
      <c r="G50" s="141">
        <f>G51</f>
        <v>2.244</v>
      </c>
      <c r="H50" s="141"/>
      <c r="I50" s="141"/>
      <c r="J50" s="146"/>
      <c r="K50" s="141"/>
      <c r="L50" s="141"/>
      <c r="M50" s="141">
        <f>M51</f>
        <v>2.244</v>
      </c>
      <c r="N50" s="141"/>
      <c r="O50" s="141"/>
      <c r="P50" s="146"/>
      <c r="Q50" s="141"/>
      <c r="R50" s="141"/>
      <c r="S50" s="141">
        <f>S51</f>
        <v>2.244</v>
      </c>
      <c r="T50" s="141"/>
      <c r="U50" s="141"/>
      <c r="V50" s="146"/>
      <c r="W50" s="141"/>
      <c r="X50" s="141"/>
      <c r="Y50" s="141">
        <f>Y51</f>
        <v>2.244</v>
      </c>
      <c r="Z50" s="141"/>
      <c r="AA50" s="141"/>
      <c r="AB50" s="208"/>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row>
    <row r="51" spans="1:70" s="2" customFormat="1" ht="15.75">
      <c r="A51" s="238" t="str">
        <f>1!A52</f>
        <v>1.4.1.1</v>
      </c>
      <c r="B51" s="171" t="str">
        <f>1!B52</f>
        <v>Строительство КЛ-10 кВ, Ф-187(С-2) от ПС"Машук" до ТП-187, п.Иноземцево , L=2,244 км (ААБлУ 3х240)</v>
      </c>
      <c r="C51" s="104" t="str">
        <f>1!C52</f>
        <v>G_Gelezno_013</v>
      </c>
      <c r="D51" s="126"/>
      <c r="E51" s="126"/>
      <c r="F51" s="126"/>
      <c r="G51" s="126">
        <f>4!J54</f>
        <v>2.244</v>
      </c>
      <c r="H51" s="126"/>
      <c r="I51" s="126"/>
      <c r="J51" s="126"/>
      <c r="K51" s="126"/>
      <c r="L51" s="126"/>
      <c r="M51" s="126">
        <f>4!Q54</f>
        <v>2.244</v>
      </c>
      <c r="N51" s="126"/>
      <c r="O51" s="126"/>
      <c r="P51" s="126"/>
      <c r="Q51" s="126"/>
      <c r="R51" s="126"/>
      <c r="S51" s="126">
        <f>G51</f>
        <v>2.244</v>
      </c>
      <c r="T51" s="126"/>
      <c r="U51" s="126"/>
      <c r="V51" s="126"/>
      <c r="W51" s="126"/>
      <c r="X51" s="126"/>
      <c r="Y51" s="126">
        <f>M51</f>
        <v>2.244</v>
      </c>
      <c r="Z51" s="126"/>
      <c r="AA51" s="126"/>
      <c r="AB51" s="206" t="s">
        <v>247</v>
      </c>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row>
    <row r="52" spans="1:70" s="2" customFormat="1" ht="15.75">
      <c r="A52" s="239" t="str">
        <f>1!A53</f>
        <v>1.4.2</v>
      </c>
      <c r="B52" s="352" t="str">
        <f>1!B53</f>
        <v>Прочее новое строительство, в счёт тех.присоединений</v>
      </c>
      <c r="C52" s="407"/>
      <c r="D52" s="408"/>
      <c r="E52" s="408"/>
      <c r="F52" s="408"/>
      <c r="G52" s="141">
        <f>SUM(G53:G89)</f>
        <v>5.628</v>
      </c>
      <c r="H52" s="408"/>
      <c r="I52" s="408"/>
      <c r="J52" s="408"/>
      <c r="K52" s="408"/>
      <c r="L52" s="408"/>
      <c r="M52" s="141">
        <f>SUM(M53:M89)</f>
        <v>5.628</v>
      </c>
      <c r="N52" s="408"/>
      <c r="O52" s="408"/>
      <c r="P52" s="408"/>
      <c r="Q52" s="408"/>
      <c r="R52" s="408"/>
      <c r="S52" s="141">
        <f>SUM(S53:S89)</f>
        <v>5.628</v>
      </c>
      <c r="T52" s="408"/>
      <c r="U52" s="408"/>
      <c r="V52" s="408"/>
      <c r="W52" s="408"/>
      <c r="X52" s="408"/>
      <c r="Y52" s="141">
        <f>SUM(Y53:Y89)</f>
        <v>5.628</v>
      </c>
      <c r="Z52" s="408"/>
      <c r="AA52" s="408"/>
      <c r="AB52" s="206"/>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0" s="2" customFormat="1" ht="15.75">
      <c r="A53" s="238" t="str">
        <f>1!A54</f>
        <v>1.4.2.1</v>
      </c>
      <c r="B53" s="171" t="str">
        <f>1!B54</f>
        <v>Строительство ВЛ-0,4 кВ от РУ-0,4 кВ ТП-185 до ВРУ офисного здания ул.Пушкина,2А, п.Иноземцево, L=0,235 км (СИП-2 3х50+1х54)</v>
      </c>
      <c r="C53" s="508" t="str">
        <f>1!C54</f>
        <v>G_Gelezno_ТР1</v>
      </c>
      <c r="D53" s="408"/>
      <c r="E53" s="408"/>
      <c r="F53" s="408"/>
      <c r="G53" s="126">
        <f>4!J56</f>
        <v>0.235</v>
      </c>
      <c r="H53" s="408"/>
      <c r="I53" s="408"/>
      <c r="J53" s="408"/>
      <c r="K53" s="408"/>
      <c r="L53" s="408"/>
      <c r="M53" s="408">
        <f>4!Q56</f>
        <v>0.235</v>
      </c>
      <c r="N53" s="408"/>
      <c r="O53" s="408"/>
      <c r="P53" s="408"/>
      <c r="Q53" s="408"/>
      <c r="R53" s="408"/>
      <c r="S53" s="126">
        <f>G53</f>
        <v>0.235</v>
      </c>
      <c r="T53" s="408"/>
      <c r="U53" s="408"/>
      <c r="V53" s="408"/>
      <c r="W53" s="408"/>
      <c r="X53" s="408"/>
      <c r="Y53" s="408">
        <f>M53</f>
        <v>0.235</v>
      </c>
      <c r="Z53" s="408"/>
      <c r="AA53" s="408"/>
      <c r="AB53" s="206" t="s">
        <v>247</v>
      </c>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0" s="2" customFormat="1" ht="15.75">
      <c r="A54" s="238" t="str">
        <f>1!A55</f>
        <v>1.4.2.2</v>
      </c>
      <c r="B54" s="171" t="str">
        <f>1!B55</f>
        <v>Строительство КЛ-0,4 кВ от РУ-0,4 кВ ТП-18 (С1) до ВРУ МКЖД ул.Косякина (район дома № 49), г.Железноводск, (Линия 1), L=0,143 км (ААБл 4х120)</v>
      </c>
      <c r="C54" s="508" t="str">
        <f>1!C55</f>
        <v>G_Gelezno_ТР2</v>
      </c>
      <c r="D54" s="408"/>
      <c r="E54" s="408"/>
      <c r="F54" s="408"/>
      <c r="G54" s="126">
        <f>4!J57</f>
        <v>0.143</v>
      </c>
      <c r="H54" s="408"/>
      <c r="I54" s="408"/>
      <c r="J54" s="408"/>
      <c r="K54" s="408"/>
      <c r="L54" s="408"/>
      <c r="M54" s="408">
        <f>4!Q57</f>
        <v>0.143</v>
      </c>
      <c r="N54" s="408"/>
      <c r="O54" s="408"/>
      <c r="P54" s="408"/>
      <c r="Q54" s="408"/>
      <c r="R54" s="408"/>
      <c r="S54" s="126">
        <f>G54</f>
        <v>0.143</v>
      </c>
      <c r="T54" s="408"/>
      <c r="U54" s="408"/>
      <c r="V54" s="408"/>
      <c r="W54" s="408"/>
      <c r="X54" s="408"/>
      <c r="Y54" s="408">
        <f>M54</f>
        <v>0.143</v>
      </c>
      <c r="Z54" s="408"/>
      <c r="AA54" s="408"/>
      <c r="AB54" s="206" t="s">
        <v>247</v>
      </c>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row>
    <row r="55" spans="1:70" s="2" customFormat="1" ht="15.75">
      <c r="A55" s="238" t="str">
        <f>1!A56</f>
        <v>1.4.2.3</v>
      </c>
      <c r="B55" s="171" t="str">
        <f>1!B56</f>
        <v>Строительство КЛ-0,4 кВ от РУ-0,4 кВ ТП-18 (С2) до ВРУ МКЖД ул.Косякина (район дома № 49), г.Железноводск, (Линия 2), L=0,143 км (ААБл 4х120)</v>
      </c>
      <c r="C55" s="508" t="str">
        <f>1!C56</f>
        <v>G_Gelezno_ТР3</v>
      </c>
      <c r="D55" s="408"/>
      <c r="E55" s="408"/>
      <c r="F55" s="408"/>
      <c r="G55" s="126">
        <f>4!J58</f>
        <v>0.143</v>
      </c>
      <c r="H55" s="408"/>
      <c r="I55" s="408"/>
      <c r="J55" s="408"/>
      <c r="K55" s="408"/>
      <c r="L55" s="408"/>
      <c r="M55" s="408">
        <f>4!Q58</f>
        <v>0.143</v>
      </c>
      <c r="N55" s="408"/>
      <c r="O55" s="408"/>
      <c r="P55" s="408"/>
      <c r="Q55" s="408"/>
      <c r="R55" s="408"/>
      <c r="S55" s="126">
        <f aca="true" t="shared" si="2" ref="S55:S88">G55</f>
        <v>0.143</v>
      </c>
      <c r="T55" s="408"/>
      <c r="U55" s="408"/>
      <c r="V55" s="408"/>
      <c r="W55" s="408"/>
      <c r="X55" s="408"/>
      <c r="Y55" s="408">
        <f aca="true" t="shared" si="3" ref="Y55:Y88">M55</f>
        <v>0.143</v>
      </c>
      <c r="Z55" s="408"/>
      <c r="AA55" s="408"/>
      <c r="AB55" s="206" t="s">
        <v>247</v>
      </c>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row>
    <row r="56" spans="1:70" s="2" customFormat="1" ht="15.75">
      <c r="A56" s="238" t="str">
        <f>1!A57</f>
        <v>1.4.2.4</v>
      </c>
      <c r="B56" s="171" t="str">
        <f>1!B57</f>
        <v>Строительство КТП-247 в районе озера "Карас", п.Иноземцево (250 кВА)</v>
      </c>
      <c r="C56" s="508" t="str">
        <f>1!C57</f>
        <v>G_Gelezno_ТР4</v>
      </c>
      <c r="D56" s="408"/>
      <c r="E56" s="408">
        <f>4!H59</f>
        <v>0.25</v>
      </c>
      <c r="F56" s="408"/>
      <c r="G56" s="126"/>
      <c r="H56" s="408"/>
      <c r="I56" s="408"/>
      <c r="J56" s="408"/>
      <c r="K56" s="408">
        <f>4!O59</f>
        <v>0.25</v>
      </c>
      <c r="L56" s="408"/>
      <c r="M56" s="408"/>
      <c r="N56" s="408"/>
      <c r="O56" s="408"/>
      <c r="P56" s="408"/>
      <c r="Q56" s="408">
        <f>E56</f>
        <v>0.25</v>
      </c>
      <c r="R56" s="408"/>
      <c r="S56" s="126"/>
      <c r="T56" s="408"/>
      <c r="U56" s="408"/>
      <c r="V56" s="408"/>
      <c r="W56" s="408">
        <f>Q56</f>
        <v>0.25</v>
      </c>
      <c r="X56" s="408"/>
      <c r="Y56" s="408"/>
      <c r="Z56" s="408"/>
      <c r="AA56" s="408"/>
      <c r="AB56" s="206" t="s">
        <v>247</v>
      </c>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row>
    <row r="57" spans="1:70" s="2" customFormat="1" ht="31.5">
      <c r="A57" s="238" t="str">
        <f>1!A58</f>
        <v>1.4.2.5</v>
      </c>
      <c r="B57" s="171"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57" s="508" t="str">
        <f>1!C58</f>
        <v>G_Gelezno_ТР5</v>
      </c>
      <c r="D57" s="408"/>
      <c r="E57" s="408"/>
      <c r="F57" s="408"/>
      <c r="G57" s="126">
        <f>4!J60</f>
        <v>0.11</v>
      </c>
      <c r="H57" s="408"/>
      <c r="I57" s="408"/>
      <c r="J57" s="408"/>
      <c r="K57" s="408"/>
      <c r="L57" s="408"/>
      <c r="M57" s="408">
        <f>4!Q60</f>
        <v>0.11</v>
      </c>
      <c r="N57" s="408"/>
      <c r="O57" s="408"/>
      <c r="P57" s="408"/>
      <c r="Q57" s="408"/>
      <c r="R57" s="408"/>
      <c r="S57" s="126">
        <f t="shared" si="2"/>
        <v>0.11</v>
      </c>
      <c r="T57" s="408"/>
      <c r="U57" s="408"/>
      <c r="V57" s="408"/>
      <c r="W57" s="408"/>
      <c r="X57" s="408"/>
      <c r="Y57" s="408">
        <f t="shared" si="3"/>
        <v>0.11</v>
      </c>
      <c r="Z57" s="408"/>
      <c r="AA57" s="408"/>
      <c r="AB57" s="206" t="s">
        <v>247</v>
      </c>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row>
    <row r="58" spans="1:70" s="2" customFormat="1" ht="15.75">
      <c r="A58" s="238" t="str">
        <f>1!A59</f>
        <v>1.4.2.6</v>
      </c>
      <c r="B58" s="171" t="str">
        <f>1!B59</f>
        <v>Строительство КЛ-10 кВ от РУ-10 кВ КТП-224 до КТП-247, п.Иноземцево, L=0,918 км (АСБ 3х120)</v>
      </c>
      <c r="C58" s="508" t="str">
        <f>1!C59</f>
        <v>G_Gelezno_ТР6</v>
      </c>
      <c r="D58" s="408"/>
      <c r="E58" s="408"/>
      <c r="F58" s="408"/>
      <c r="G58" s="126">
        <f>4!J61</f>
        <v>0.918</v>
      </c>
      <c r="H58" s="408"/>
      <c r="I58" s="408"/>
      <c r="J58" s="408"/>
      <c r="K58" s="408"/>
      <c r="L58" s="408"/>
      <c r="M58" s="408">
        <f>4!Q61</f>
        <v>0.918</v>
      </c>
      <c r="N58" s="408"/>
      <c r="O58" s="408"/>
      <c r="P58" s="408"/>
      <c r="Q58" s="408"/>
      <c r="R58" s="408"/>
      <c r="S58" s="126">
        <f t="shared" si="2"/>
        <v>0.918</v>
      </c>
      <c r="T58" s="408"/>
      <c r="U58" s="408"/>
      <c r="V58" s="408"/>
      <c r="W58" s="408"/>
      <c r="X58" s="408"/>
      <c r="Y58" s="408">
        <f t="shared" si="3"/>
        <v>0.918</v>
      </c>
      <c r="Z58" s="408"/>
      <c r="AA58" s="408"/>
      <c r="AB58" s="206" t="s">
        <v>247</v>
      </c>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row>
    <row r="59" spans="1:70" s="2" customFormat="1" ht="15.75">
      <c r="A59" s="238" t="str">
        <f>1!A60</f>
        <v>1.4.2.7</v>
      </c>
      <c r="B59" s="171" t="str">
        <f>1!B60</f>
        <v>Строительство КЛ-0,4 кВ от РУ-0,4 кВ ТП-50 (С-1) до ВРУ МКЖД по ул.Ленина,49(линия 1), г.Железноводск, L=0,061 км (АВБбШв 4х240)</v>
      </c>
      <c r="C59" s="508" t="str">
        <f>1!C60</f>
        <v>G_Gelezno_ТР7</v>
      </c>
      <c r="D59" s="408"/>
      <c r="E59" s="408"/>
      <c r="F59" s="408"/>
      <c r="G59" s="126">
        <f>4!J62</f>
        <v>0.061</v>
      </c>
      <c r="H59" s="408"/>
      <c r="I59" s="408"/>
      <c r="J59" s="408"/>
      <c r="K59" s="408"/>
      <c r="L59" s="408"/>
      <c r="M59" s="408">
        <f>4!Q62</f>
        <v>0.061</v>
      </c>
      <c r="N59" s="408"/>
      <c r="O59" s="408"/>
      <c r="P59" s="408"/>
      <c r="Q59" s="408"/>
      <c r="R59" s="408"/>
      <c r="S59" s="126">
        <f t="shared" si="2"/>
        <v>0.061</v>
      </c>
      <c r="T59" s="408"/>
      <c r="U59" s="408"/>
      <c r="V59" s="408"/>
      <c r="W59" s="408"/>
      <c r="X59" s="408"/>
      <c r="Y59" s="408">
        <f t="shared" si="3"/>
        <v>0.061</v>
      </c>
      <c r="Z59" s="408"/>
      <c r="AA59" s="408"/>
      <c r="AB59" s="206" t="s">
        <v>247</v>
      </c>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row>
    <row r="60" spans="1:70" s="2" customFormat="1" ht="15.75">
      <c r="A60" s="238" t="str">
        <f>1!A61</f>
        <v>1.4.2.8</v>
      </c>
      <c r="B60" s="171" t="str">
        <f>1!B61</f>
        <v>Строительство КЛ-0,4 кВ от РУ-0,4 кВ ТП-50(С-2) до ВРУ МКЖД по ул.Ленина,49(линия 2), г.Железноводск, L=0,061 км (АВБбШв 4х240)</v>
      </c>
      <c r="C60" s="508" t="str">
        <f>1!C61</f>
        <v>G_Gelezno_ТР8</v>
      </c>
      <c r="D60" s="408"/>
      <c r="E60" s="408"/>
      <c r="F60" s="408"/>
      <c r="G60" s="126">
        <f>4!J63</f>
        <v>0.061</v>
      </c>
      <c r="H60" s="408"/>
      <c r="I60" s="408"/>
      <c r="J60" s="408"/>
      <c r="K60" s="408"/>
      <c r="L60" s="408"/>
      <c r="M60" s="408">
        <f>4!Q63</f>
        <v>0.061</v>
      </c>
      <c r="N60" s="408"/>
      <c r="O60" s="408"/>
      <c r="P60" s="408"/>
      <c r="Q60" s="408"/>
      <c r="R60" s="408"/>
      <c r="S60" s="126">
        <f t="shared" si="2"/>
        <v>0.061</v>
      </c>
      <c r="T60" s="408"/>
      <c r="U60" s="408"/>
      <c r="V60" s="408"/>
      <c r="W60" s="408"/>
      <c r="X60" s="408"/>
      <c r="Y60" s="408">
        <f t="shared" si="3"/>
        <v>0.061</v>
      </c>
      <c r="Z60" s="408"/>
      <c r="AA60" s="408"/>
      <c r="AB60" s="206" t="s">
        <v>247</v>
      </c>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row>
    <row r="61" spans="1:70" s="2" customFormat="1" ht="15.75">
      <c r="A61" s="238" t="str">
        <f>1!A62</f>
        <v>1.4.2.9</v>
      </c>
      <c r="B61" s="171" t="str">
        <f>1!B62</f>
        <v>Строительство КТП-105 ул.Октябрьская, 96 Б, п.Иноземцево (250 кВА)</v>
      </c>
      <c r="C61" s="508" t="str">
        <f>1!C62</f>
        <v>G_Gelezno_ТР9</v>
      </c>
      <c r="D61" s="408"/>
      <c r="E61" s="408">
        <f>4!H64</f>
        <v>0.25</v>
      </c>
      <c r="F61" s="408"/>
      <c r="G61" s="126"/>
      <c r="H61" s="408"/>
      <c r="I61" s="408"/>
      <c r="J61" s="408"/>
      <c r="K61" s="408">
        <f>4!O64</f>
        <v>0.25</v>
      </c>
      <c r="L61" s="408"/>
      <c r="M61" s="408"/>
      <c r="N61" s="408"/>
      <c r="O61" s="408"/>
      <c r="P61" s="408"/>
      <c r="Q61" s="408">
        <f>E61</f>
        <v>0.25</v>
      </c>
      <c r="R61" s="408"/>
      <c r="S61" s="126"/>
      <c r="T61" s="408"/>
      <c r="U61" s="408"/>
      <c r="V61" s="408"/>
      <c r="W61" s="408">
        <f>Q61</f>
        <v>0.25</v>
      </c>
      <c r="X61" s="408"/>
      <c r="Y61" s="408"/>
      <c r="Z61" s="408"/>
      <c r="AA61" s="408"/>
      <c r="AB61" s="206" t="s">
        <v>247</v>
      </c>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row>
    <row r="62" spans="1:70" s="2" customFormat="1" ht="31.5">
      <c r="A62" s="238" t="str">
        <f>1!A63</f>
        <v>1.4.2.10</v>
      </c>
      <c r="B62" s="171" t="str">
        <f>1!B63</f>
        <v>Строительство КЛ-0,4 кВ от РП-2 (С-1) до ВРУ тренировочной площадки стадииона "Спартак" ул.Калинина,3 (линия 1), г.Железноводск, L= 0,245 км (АВБбШв 4х240)</v>
      </c>
      <c r="C62" s="508" t="str">
        <f>1!C63</f>
        <v>G_Gelezno_ТР10</v>
      </c>
      <c r="D62" s="408"/>
      <c r="E62" s="408"/>
      <c r="F62" s="408"/>
      <c r="G62" s="126">
        <f>4!J65</f>
        <v>0.245</v>
      </c>
      <c r="H62" s="408"/>
      <c r="I62" s="408"/>
      <c r="J62" s="408"/>
      <c r="K62" s="408"/>
      <c r="L62" s="408"/>
      <c r="M62" s="408">
        <f>4!Q65</f>
        <v>0.245</v>
      </c>
      <c r="N62" s="408"/>
      <c r="O62" s="408"/>
      <c r="P62" s="408"/>
      <c r="Q62" s="408"/>
      <c r="R62" s="408"/>
      <c r="S62" s="126">
        <f t="shared" si="2"/>
        <v>0.245</v>
      </c>
      <c r="T62" s="408"/>
      <c r="U62" s="408"/>
      <c r="V62" s="408"/>
      <c r="W62" s="408"/>
      <c r="X62" s="408"/>
      <c r="Y62" s="408">
        <f t="shared" si="3"/>
        <v>0.245</v>
      </c>
      <c r="Z62" s="408"/>
      <c r="AA62" s="408"/>
      <c r="AB62" s="206" t="s">
        <v>247</v>
      </c>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row>
    <row r="63" spans="1:70" s="2" customFormat="1" ht="31.5">
      <c r="A63" s="238" t="str">
        <f>1!A64</f>
        <v>1.4.2.11</v>
      </c>
      <c r="B63" s="171" t="str">
        <f>1!B64</f>
        <v>Строительство КЛ-0,4 кВ от РП-2 (С-2) до ВРУ тренировочной площадки стадиона "Спартак" ул.Калинина,3 (линия 2), г.Железноводск, L= 0,245 км (АВБбШв 4х240)</v>
      </c>
      <c r="C63" s="508" t="str">
        <f>1!C64</f>
        <v>G_Gelezno_ТР11</v>
      </c>
      <c r="D63" s="408"/>
      <c r="E63" s="408"/>
      <c r="F63" s="408"/>
      <c r="G63" s="126">
        <f>4!J66</f>
        <v>0.245</v>
      </c>
      <c r="H63" s="408"/>
      <c r="I63" s="408"/>
      <c r="J63" s="408"/>
      <c r="K63" s="408"/>
      <c r="L63" s="408"/>
      <c r="M63" s="408">
        <f>4!Q66</f>
        <v>0.245</v>
      </c>
      <c r="N63" s="408"/>
      <c r="O63" s="408"/>
      <c r="P63" s="408"/>
      <c r="Q63" s="408"/>
      <c r="R63" s="408"/>
      <c r="S63" s="126">
        <f t="shared" si="2"/>
        <v>0.245</v>
      </c>
      <c r="T63" s="408"/>
      <c r="U63" s="408"/>
      <c r="V63" s="408"/>
      <c r="W63" s="408"/>
      <c r="X63" s="408"/>
      <c r="Y63" s="408">
        <f t="shared" si="3"/>
        <v>0.245</v>
      </c>
      <c r="Z63" s="408"/>
      <c r="AA63" s="408"/>
      <c r="AB63" s="206" t="s">
        <v>247</v>
      </c>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row>
    <row r="64" spans="1:70" s="2" customFormat="1" ht="15.75">
      <c r="A64" s="238" t="str">
        <f>1!A65</f>
        <v>1.4.2.12</v>
      </c>
      <c r="B64" s="171" t="str">
        <f>1!B65</f>
        <v>Строительство КТП-248 ул.Тихая,8, п.Иноземцево (ТМГ-250 кВА)</v>
      </c>
      <c r="C64" s="508" t="str">
        <f>1!C65</f>
        <v>G_Gelezno_ТР12</v>
      </c>
      <c r="D64" s="408"/>
      <c r="E64" s="408">
        <f>4!H67</f>
        <v>0.25</v>
      </c>
      <c r="F64" s="408"/>
      <c r="G64" s="126"/>
      <c r="H64" s="408"/>
      <c r="I64" s="408"/>
      <c r="J64" s="408"/>
      <c r="K64" s="408">
        <f>4!O67</f>
        <v>0.25</v>
      </c>
      <c r="L64" s="408"/>
      <c r="M64" s="408"/>
      <c r="N64" s="408"/>
      <c r="O64" s="408"/>
      <c r="P64" s="408"/>
      <c r="Q64" s="408">
        <f>E64</f>
        <v>0.25</v>
      </c>
      <c r="R64" s="408"/>
      <c r="S64" s="126"/>
      <c r="T64" s="408"/>
      <c r="U64" s="408"/>
      <c r="V64" s="408"/>
      <c r="W64" s="408">
        <f>Q64</f>
        <v>0.25</v>
      </c>
      <c r="X64" s="408"/>
      <c r="Y64" s="408"/>
      <c r="Z64" s="408"/>
      <c r="AA64" s="408"/>
      <c r="AB64" s="206" t="s">
        <v>247</v>
      </c>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row>
    <row r="65" spans="1:70" s="2" customFormat="1" ht="15.75">
      <c r="A65" s="238" t="str">
        <f>1!A66</f>
        <v>1.4.2.13</v>
      </c>
      <c r="B65" s="171" t="str">
        <f>1!B66</f>
        <v>Строительство ВЛ-0,4 кВ от КТП-233 до ВРУ магазина ул.Вокзальная, 46А, п.Иноземцево, L= 0,408 км (СИП-2 3х50+1х54,6)</v>
      </c>
      <c r="C65" s="508" t="str">
        <f>1!C66</f>
        <v>G_Gelezno_ТР13</v>
      </c>
      <c r="D65" s="408"/>
      <c r="E65" s="408"/>
      <c r="F65" s="408"/>
      <c r="G65" s="126">
        <f>4!J68</f>
        <v>0.408</v>
      </c>
      <c r="H65" s="408"/>
      <c r="I65" s="408"/>
      <c r="J65" s="408"/>
      <c r="K65" s="408"/>
      <c r="L65" s="408"/>
      <c r="M65" s="408">
        <f>4!Q68</f>
        <v>0.408</v>
      </c>
      <c r="N65" s="408"/>
      <c r="O65" s="408"/>
      <c r="P65" s="408"/>
      <c r="Q65" s="408"/>
      <c r="R65" s="408"/>
      <c r="S65" s="126">
        <f t="shared" si="2"/>
        <v>0.408</v>
      </c>
      <c r="T65" s="408"/>
      <c r="U65" s="408"/>
      <c r="V65" s="408"/>
      <c r="W65" s="408"/>
      <c r="X65" s="408"/>
      <c r="Y65" s="408">
        <f t="shared" si="3"/>
        <v>0.408</v>
      </c>
      <c r="Z65" s="408"/>
      <c r="AA65" s="408"/>
      <c r="AB65" s="206" t="s">
        <v>247</v>
      </c>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row>
    <row r="66" spans="1:70" s="2" customFormat="1" ht="15.75">
      <c r="A66" s="238" t="str">
        <f>1!A67</f>
        <v>1.4.2.14</v>
      </c>
      <c r="B66" s="171" t="str">
        <f>1!B67</f>
        <v>Строительство ВЛ-0,4 кВ от РУ-0,4кВ ТП-75 (С-1) по ул.Ленина район дома 123, г.Железноводск, L= 0,143 км (СИП-2 3х50+1х54,6)</v>
      </c>
      <c r="C66" s="508" t="str">
        <f>1!C67</f>
        <v>G_Gelezno_ТР14</v>
      </c>
      <c r="D66" s="408"/>
      <c r="E66" s="408"/>
      <c r="F66" s="408"/>
      <c r="G66" s="126">
        <f>4!J69</f>
        <v>0.143</v>
      </c>
      <c r="H66" s="408"/>
      <c r="I66" s="408"/>
      <c r="J66" s="408"/>
      <c r="K66" s="408"/>
      <c r="L66" s="408"/>
      <c r="M66" s="408">
        <f>4!Q69</f>
        <v>0.143</v>
      </c>
      <c r="N66" s="408"/>
      <c r="O66" s="408"/>
      <c r="P66" s="408"/>
      <c r="Q66" s="408"/>
      <c r="R66" s="408"/>
      <c r="S66" s="126">
        <f t="shared" si="2"/>
        <v>0.143</v>
      </c>
      <c r="T66" s="408"/>
      <c r="U66" s="408"/>
      <c r="V66" s="408"/>
      <c r="W66" s="408"/>
      <c r="X66" s="408"/>
      <c r="Y66" s="408">
        <f t="shared" si="3"/>
        <v>0.143</v>
      </c>
      <c r="Z66" s="408"/>
      <c r="AA66" s="408"/>
      <c r="AB66" s="206" t="s">
        <v>247</v>
      </c>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row>
    <row r="67" spans="1:70" s="2" customFormat="1" ht="15.75">
      <c r="A67" s="238" t="str">
        <f>1!A68</f>
        <v>1.4.2.15</v>
      </c>
      <c r="B67" s="171" t="str">
        <f>1!B68</f>
        <v>Строительство ВЛ-0,4кВ от РУ-0,4 кВ ТП-75 (С-2) по ул.Ленина район дома 123, г.Железноводск, L= 0,143 км (СИП-2 3х50+1х54,6)</v>
      </c>
      <c r="C67" s="508" t="str">
        <f>1!C68</f>
        <v>G_Gelezno_ТР15</v>
      </c>
      <c r="D67" s="408"/>
      <c r="E67" s="408"/>
      <c r="F67" s="408"/>
      <c r="G67" s="126">
        <f>4!J70</f>
        <v>0.143</v>
      </c>
      <c r="H67" s="408"/>
      <c r="I67" s="408"/>
      <c r="J67" s="408"/>
      <c r="K67" s="408"/>
      <c r="L67" s="408"/>
      <c r="M67" s="408">
        <f>4!Q70</f>
        <v>0.143</v>
      </c>
      <c r="N67" s="408"/>
      <c r="O67" s="408"/>
      <c r="P67" s="408"/>
      <c r="Q67" s="408"/>
      <c r="R67" s="408"/>
      <c r="S67" s="126">
        <f t="shared" si="2"/>
        <v>0.143</v>
      </c>
      <c r="T67" s="408"/>
      <c r="U67" s="408"/>
      <c r="V67" s="408"/>
      <c r="W67" s="408"/>
      <c r="X67" s="408"/>
      <c r="Y67" s="408">
        <f t="shared" si="3"/>
        <v>0.143</v>
      </c>
      <c r="Z67" s="408"/>
      <c r="AA67" s="408"/>
      <c r="AB67" s="206" t="s">
        <v>247</v>
      </c>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row>
    <row r="68" spans="1:70" s="2" customFormat="1" ht="15.75">
      <c r="A68" s="238" t="str">
        <f>1!A69</f>
        <v>1.4.2.16</v>
      </c>
      <c r="B68" s="171" t="str">
        <f>1!B69</f>
        <v>Строительство КЛ-0,4 кВ от ВРУ-1 до ВРУ-2 в ЖК "Вишнёвый сад" (2-ая очередь), п.Иноземцево, L= 0,04 км (АВБбШв 4х120)</v>
      </c>
      <c r="C68" s="508" t="str">
        <f>1!C69</f>
        <v>G_Gelezno_ТР16</v>
      </c>
      <c r="D68" s="408"/>
      <c r="E68" s="408"/>
      <c r="F68" s="408"/>
      <c r="G68" s="126">
        <f>4!J71</f>
        <v>0.04</v>
      </c>
      <c r="H68" s="408"/>
      <c r="I68" s="408"/>
      <c r="J68" s="408"/>
      <c r="K68" s="408"/>
      <c r="L68" s="408"/>
      <c r="M68" s="408">
        <f>4!Q71</f>
        <v>0.04</v>
      </c>
      <c r="N68" s="408"/>
      <c r="O68" s="408"/>
      <c r="P68" s="408"/>
      <c r="Q68" s="408"/>
      <c r="R68" s="408"/>
      <c r="S68" s="126">
        <f t="shared" si="2"/>
        <v>0.04</v>
      </c>
      <c r="T68" s="408"/>
      <c r="U68" s="408"/>
      <c r="V68" s="408"/>
      <c r="W68" s="408"/>
      <c r="X68" s="408"/>
      <c r="Y68" s="408">
        <f t="shared" si="3"/>
        <v>0.04</v>
      </c>
      <c r="Z68" s="408"/>
      <c r="AA68" s="408"/>
      <c r="AB68" s="206" t="s">
        <v>247</v>
      </c>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row>
    <row r="69" spans="1:70" s="2" customFormat="1" ht="15.75">
      <c r="A69" s="238" t="str">
        <f>1!A70</f>
        <v>1.4.2.17</v>
      </c>
      <c r="B69" s="171" t="str">
        <f>1!B70</f>
        <v>Строительство КЛ-0,4кВ от ВРУ-11 до ВРУ-12 в ЖК"Вишнёвый сад" (2-ая очередь), п.Иноземцево, L= 0,035 км (АВБбШв 4х95)</v>
      </c>
      <c r="C69" s="508" t="str">
        <f>1!C70</f>
        <v>G_Gelezno_ТР17</v>
      </c>
      <c r="D69" s="408"/>
      <c r="E69" s="408"/>
      <c r="F69" s="408"/>
      <c r="G69" s="126">
        <f>4!J72</f>
        <v>0.035</v>
      </c>
      <c r="H69" s="408"/>
      <c r="I69" s="408"/>
      <c r="J69" s="408"/>
      <c r="K69" s="408"/>
      <c r="L69" s="408"/>
      <c r="M69" s="408">
        <f>4!Q72</f>
        <v>0.035</v>
      </c>
      <c r="N69" s="408"/>
      <c r="O69" s="408"/>
      <c r="P69" s="408"/>
      <c r="Q69" s="408"/>
      <c r="R69" s="408"/>
      <c r="S69" s="126">
        <f t="shared" si="2"/>
        <v>0.035</v>
      </c>
      <c r="T69" s="408"/>
      <c r="U69" s="408"/>
      <c r="V69" s="408"/>
      <c r="W69" s="408"/>
      <c r="X69" s="408"/>
      <c r="Y69" s="408">
        <f t="shared" si="3"/>
        <v>0.035</v>
      </c>
      <c r="Z69" s="408"/>
      <c r="AA69" s="408"/>
      <c r="AB69" s="206" t="s">
        <v>247</v>
      </c>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row>
    <row r="70" spans="1:70" s="2" customFormat="1" ht="15.75">
      <c r="A70" s="238" t="str">
        <f>1!A71</f>
        <v>1.4.2.18</v>
      </c>
      <c r="B70" s="171" t="str">
        <f>1!B71</f>
        <v>Строительство КЛ-0,4кВ от ВРУ-13 до ВРУ-14 в ЖК"Вишнёвый сад" (2-ая очередь), п.Иноземцево, L= 0,035 км (АВБбШв 4х95)</v>
      </c>
      <c r="C70" s="508" t="str">
        <f>1!C71</f>
        <v>G_Gelezno_ТР18</v>
      </c>
      <c r="D70" s="408"/>
      <c r="E70" s="408"/>
      <c r="F70" s="408"/>
      <c r="G70" s="126">
        <f>4!J73</f>
        <v>0.035</v>
      </c>
      <c r="H70" s="408"/>
      <c r="I70" s="408"/>
      <c r="J70" s="408"/>
      <c r="K70" s="408"/>
      <c r="L70" s="408"/>
      <c r="M70" s="408">
        <f>4!Q73</f>
        <v>0.035</v>
      </c>
      <c r="N70" s="408"/>
      <c r="O70" s="408"/>
      <c r="P70" s="408"/>
      <c r="Q70" s="408"/>
      <c r="R70" s="408"/>
      <c r="S70" s="126">
        <f t="shared" si="2"/>
        <v>0.035</v>
      </c>
      <c r="T70" s="408"/>
      <c r="U70" s="408"/>
      <c r="V70" s="408"/>
      <c r="W70" s="408"/>
      <c r="X70" s="408"/>
      <c r="Y70" s="408">
        <f t="shared" si="3"/>
        <v>0.035</v>
      </c>
      <c r="Z70" s="408"/>
      <c r="AA70" s="408"/>
      <c r="AB70" s="206" t="s">
        <v>247</v>
      </c>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row>
    <row r="71" spans="1:70" s="2" customFormat="1" ht="15.75">
      <c r="A71" s="238" t="str">
        <f>1!A72</f>
        <v>1.4.2.19</v>
      </c>
      <c r="B71" s="171" t="str">
        <f>1!B72</f>
        <v>Строительство КЛ-0,4 кВ от ВРУ-9 до ВРУ-10 в ЖК "Вишнёвый сад" (2-ая очередь), п.Иноземцево, L= 0,035 км (АВБбШв 4х95)</v>
      </c>
      <c r="C71" s="508" t="str">
        <f>1!C72</f>
        <v>G_Gelezno_ТР19</v>
      </c>
      <c r="D71" s="408"/>
      <c r="E71" s="408"/>
      <c r="F71" s="408"/>
      <c r="G71" s="126">
        <f>4!J74</f>
        <v>0.035</v>
      </c>
      <c r="H71" s="408"/>
      <c r="I71" s="408"/>
      <c r="J71" s="408"/>
      <c r="K71" s="408"/>
      <c r="L71" s="408"/>
      <c r="M71" s="408">
        <f>4!Q74</f>
        <v>0.035</v>
      </c>
      <c r="N71" s="408"/>
      <c r="O71" s="408"/>
      <c r="P71" s="408"/>
      <c r="Q71" s="408"/>
      <c r="R71" s="408"/>
      <c r="S71" s="126">
        <f t="shared" si="2"/>
        <v>0.035</v>
      </c>
      <c r="T71" s="408"/>
      <c r="U71" s="408"/>
      <c r="V71" s="408"/>
      <c r="W71" s="408"/>
      <c r="X71" s="408"/>
      <c r="Y71" s="408">
        <f t="shared" si="3"/>
        <v>0.035</v>
      </c>
      <c r="Z71" s="408"/>
      <c r="AA71" s="408"/>
      <c r="AB71" s="206" t="s">
        <v>247</v>
      </c>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row>
    <row r="72" spans="1:70" s="2" customFormat="1" ht="15.75">
      <c r="A72" s="238" t="str">
        <f>1!A73</f>
        <v>1.4.2.20</v>
      </c>
      <c r="B72" s="171" t="str">
        <f>1!B73</f>
        <v>Строительство КЛ-0,4 кВ от РУ-0,4 кВ 2КТП-244 до ВРУ-10 в ЖК "Вишнёвый сад" (2-ая очередь), п.Иноземцево, L= 0,19 км (АВБбШв 4х120)</v>
      </c>
      <c r="C72" s="508" t="str">
        <f>1!C73</f>
        <v>G_Gelezno_ТР20</v>
      </c>
      <c r="D72" s="408"/>
      <c r="E72" s="408"/>
      <c r="F72" s="408"/>
      <c r="G72" s="126">
        <f>4!J75</f>
        <v>0.19</v>
      </c>
      <c r="H72" s="408"/>
      <c r="I72" s="408"/>
      <c r="J72" s="408"/>
      <c r="K72" s="408"/>
      <c r="L72" s="408"/>
      <c r="M72" s="408">
        <f>4!Q75</f>
        <v>0.19</v>
      </c>
      <c r="N72" s="408"/>
      <c r="O72" s="408"/>
      <c r="P72" s="408"/>
      <c r="Q72" s="408"/>
      <c r="R72" s="408"/>
      <c r="S72" s="126">
        <f t="shared" si="2"/>
        <v>0.19</v>
      </c>
      <c r="T72" s="408"/>
      <c r="U72" s="408"/>
      <c r="V72" s="408"/>
      <c r="W72" s="408"/>
      <c r="X72" s="408"/>
      <c r="Y72" s="408">
        <f t="shared" si="3"/>
        <v>0.19</v>
      </c>
      <c r="Z72" s="408"/>
      <c r="AA72" s="408"/>
      <c r="AB72" s="206" t="s">
        <v>247</v>
      </c>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row>
    <row r="73" spans="1:70" s="2" customFormat="1" ht="15.75">
      <c r="A73" s="238" t="str">
        <f>1!A74</f>
        <v>1.4.2.21</v>
      </c>
      <c r="B73" s="171" t="str">
        <f>1!B74</f>
        <v>Строительство КЛ-0,4 кВ от РУ-0,4 кВ 2КТП-244 до ВРУ-11 в ЖК "Вишнёвый сад" (2-ая очередь), п.Иноземцево, L= 0,14 км (АВБбШв 4х95)</v>
      </c>
      <c r="C73" s="508" t="str">
        <f>1!C74</f>
        <v>G_Gelezno_ТР21</v>
      </c>
      <c r="D73" s="408"/>
      <c r="E73" s="408"/>
      <c r="F73" s="408"/>
      <c r="G73" s="126">
        <f>4!J76</f>
        <v>0.14</v>
      </c>
      <c r="H73" s="408"/>
      <c r="I73" s="408"/>
      <c r="J73" s="408"/>
      <c r="K73" s="408"/>
      <c r="L73" s="408"/>
      <c r="M73" s="408">
        <f>4!Q76</f>
        <v>0.14</v>
      </c>
      <c r="N73" s="408"/>
      <c r="O73" s="408"/>
      <c r="P73" s="408"/>
      <c r="Q73" s="408"/>
      <c r="R73" s="408"/>
      <c r="S73" s="126">
        <f t="shared" si="2"/>
        <v>0.14</v>
      </c>
      <c r="T73" s="408"/>
      <c r="U73" s="408"/>
      <c r="V73" s="408"/>
      <c r="W73" s="408"/>
      <c r="X73" s="408"/>
      <c r="Y73" s="408">
        <f t="shared" si="3"/>
        <v>0.14</v>
      </c>
      <c r="Z73" s="408"/>
      <c r="AA73" s="408"/>
      <c r="AB73" s="206" t="s">
        <v>247</v>
      </c>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row>
    <row r="74" spans="1:70" s="2" customFormat="1" ht="15.75">
      <c r="A74" s="238" t="str">
        <f>1!A75</f>
        <v>1.4.2.22</v>
      </c>
      <c r="B74" s="171" t="str">
        <f>1!B75</f>
        <v>Строительство КЛ-0,4 кВ от РУ-0,4 кВ 2КТП-244 до ВРУ-13 в ЖК "Вишнёвый сад" (2-ая очередь), п.Иноземцево, L= 0,06 км (АВБбШв 4х120)</v>
      </c>
      <c r="C74" s="508" t="str">
        <f>1!C75</f>
        <v>G_Gelezno_ТР22</v>
      </c>
      <c r="D74" s="408"/>
      <c r="E74" s="408"/>
      <c r="F74" s="408"/>
      <c r="G74" s="126">
        <f>4!J77</f>
        <v>0.06</v>
      </c>
      <c r="H74" s="408"/>
      <c r="I74" s="408"/>
      <c r="J74" s="408"/>
      <c r="K74" s="408"/>
      <c r="L74" s="408"/>
      <c r="M74" s="408">
        <f>4!Q77</f>
        <v>0.06</v>
      </c>
      <c r="N74" s="408"/>
      <c r="O74" s="408"/>
      <c r="P74" s="408"/>
      <c r="Q74" s="408"/>
      <c r="R74" s="408"/>
      <c r="S74" s="126">
        <f t="shared" si="2"/>
        <v>0.06</v>
      </c>
      <c r="T74" s="408"/>
      <c r="U74" s="408"/>
      <c r="V74" s="408"/>
      <c r="W74" s="408"/>
      <c r="X74" s="408"/>
      <c r="Y74" s="408">
        <f t="shared" si="3"/>
        <v>0.06</v>
      </c>
      <c r="Z74" s="408"/>
      <c r="AA74" s="408"/>
      <c r="AB74" s="206" t="s">
        <v>247</v>
      </c>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row>
    <row r="75" spans="1:70" s="2" customFormat="1" ht="15.75">
      <c r="A75" s="238" t="str">
        <f>1!A76</f>
        <v>1.4.2.23</v>
      </c>
      <c r="B75" s="171" t="str">
        <f>1!B76</f>
        <v>Строительство КЛ-0,4 кВ от РУ-0,4 кВ 2КТП-244 до ВРУ-14 в ЖК "Вишнёвый сад" (2-ая очередь), п.Иноземцево, L= 0,1 км (АВБбШв 4х120)</v>
      </c>
      <c r="C75" s="508" t="str">
        <f>1!C76</f>
        <v>G_Gelezno_ТР23</v>
      </c>
      <c r="D75" s="408"/>
      <c r="E75" s="408"/>
      <c r="F75" s="408"/>
      <c r="G75" s="126">
        <f>4!J78</f>
        <v>0.1</v>
      </c>
      <c r="H75" s="408"/>
      <c r="I75" s="408"/>
      <c r="J75" s="408"/>
      <c r="K75" s="408"/>
      <c r="L75" s="408"/>
      <c r="M75" s="408">
        <f>4!Q78</f>
        <v>0.1</v>
      </c>
      <c r="N75" s="408"/>
      <c r="O75" s="408"/>
      <c r="P75" s="408"/>
      <c r="Q75" s="408"/>
      <c r="R75" s="408"/>
      <c r="S75" s="126">
        <f t="shared" si="2"/>
        <v>0.1</v>
      </c>
      <c r="T75" s="408"/>
      <c r="U75" s="408"/>
      <c r="V75" s="408"/>
      <c r="W75" s="408"/>
      <c r="X75" s="408"/>
      <c r="Y75" s="408">
        <f t="shared" si="3"/>
        <v>0.1</v>
      </c>
      <c r="Z75" s="408"/>
      <c r="AA75" s="408"/>
      <c r="AB75" s="206" t="s">
        <v>247</v>
      </c>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row>
    <row r="76" spans="1:70" s="2" customFormat="1" ht="15.75">
      <c r="A76" s="238" t="str">
        <f>1!A77</f>
        <v>1.4.2.24</v>
      </c>
      <c r="B76" s="171" t="str">
        <f>1!B77</f>
        <v>Строительство КЛ-0,4 кВ от РУ-0,4 кВ 2КТП-244 до ВРУ-16 в ЖК "Вишнёвый сад" (2-ая очередь), п.Иноземцево, L= 0,11 км (АВБбШв 4х95)</v>
      </c>
      <c r="C76" s="508" t="str">
        <f>1!C77</f>
        <v>G_Gelezno_ТР24</v>
      </c>
      <c r="D76" s="408"/>
      <c r="E76" s="408"/>
      <c r="F76" s="408"/>
      <c r="G76" s="126">
        <f>4!J79</f>
        <v>0.11</v>
      </c>
      <c r="H76" s="408"/>
      <c r="I76" s="408"/>
      <c r="J76" s="408"/>
      <c r="K76" s="408"/>
      <c r="L76" s="408"/>
      <c r="M76" s="408">
        <f>4!Q79</f>
        <v>0.11</v>
      </c>
      <c r="N76" s="408"/>
      <c r="O76" s="408"/>
      <c r="P76" s="408"/>
      <c r="Q76" s="408"/>
      <c r="R76" s="408"/>
      <c r="S76" s="126">
        <f t="shared" si="2"/>
        <v>0.11</v>
      </c>
      <c r="T76" s="408"/>
      <c r="U76" s="408"/>
      <c r="V76" s="408"/>
      <c r="W76" s="408"/>
      <c r="X76" s="408"/>
      <c r="Y76" s="408">
        <f t="shared" si="3"/>
        <v>0.11</v>
      </c>
      <c r="Z76" s="408"/>
      <c r="AA76" s="408"/>
      <c r="AB76" s="206" t="s">
        <v>247</v>
      </c>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row>
    <row r="77" spans="1:70" s="2" customFormat="1" ht="15.75">
      <c r="A77" s="238" t="str">
        <f>1!A78</f>
        <v>1.4.2.25</v>
      </c>
      <c r="B77" s="171" t="str">
        <f>1!B78</f>
        <v>Строительство КЛ-0,4 кВ от РУ-0,4 кВ 2КТП-244 до ВРУ-9 в ЖК "Вишнёвый сад" (2-ая очередь), п.Иноземцево, L= 0,215 км (АВБбШв 4х120)</v>
      </c>
      <c r="C77" s="508" t="str">
        <f>1!C78</f>
        <v>G_Gelezno_ТР25</v>
      </c>
      <c r="D77" s="408"/>
      <c r="E77" s="408"/>
      <c r="F77" s="408"/>
      <c r="G77" s="126">
        <f>4!J80</f>
        <v>0.215</v>
      </c>
      <c r="H77" s="408"/>
      <c r="I77" s="408"/>
      <c r="J77" s="408"/>
      <c r="K77" s="408"/>
      <c r="L77" s="408"/>
      <c r="M77" s="408">
        <f>4!Q80</f>
        <v>0.215</v>
      </c>
      <c r="N77" s="408"/>
      <c r="O77" s="408"/>
      <c r="P77" s="408"/>
      <c r="Q77" s="408"/>
      <c r="R77" s="408"/>
      <c r="S77" s="126">
        <f t="shared" si="2"/>
        <v>0.215</v>
      </c>
      <c r="T77" s="408"/>
      <c r="U77" s="408"/>
      <c r="V77" s="408"/>
      <c r="W77" s="408"/>
      <c r="X77" s="408"/>
      <c r="Y77" s="408">
        <f t="shared" si="3"/>
        <v>0.215</v>
      </c>
      <c r="Z77" s="408"/>
      <c r="AA77" s="408"/>
      <c r="AB77" s="206" t="s">
        <v>247</v>
      </c>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row>
    <row r="78" spans="1:70" s="2" customFormat="1" ht="15.75">
      <c r="A78" s="238" t="str">
        <f>1!A79</f>
        <v>1.4.2.26</v>
      </c>
      <c r="B78" s="171" t="str">
        <f>1!B79</f>
        <v>Строительство КЛ-0,4 кВ от ВРУ-1 МКЖД до ВРУ-2 МКЖД ул.Тихая,8, п.Иноземцево, L= 0,071 км (АВВГ 4х35)</v>
      </c>
      <c r="C78" s="508" t="str">
        <f>1!C79</f>
        <v>G_Gelezno_ТР26</v>
      </c>
      <c r="D78" s="408"/>
      <c r="E78" s="408"/>
      <c r="F78" s="408"/>
      <c r="G78" s="126">
        <f>4!J81</f>
        <v>0.071</v>
      </c>
      <c r="H78" s="408"/>
      <c r="I78" s="408"/>
      <c r="J78" s="408"/>
      <c r="K78" s="408"/>
      <c r="L78" s="408"/>
      <c r="M78" s="408">
        <f>4!Q81</f>
        <v>0.071</v>
      </c>
      <c r="N78" s="408"/>
      <c r="O78" s="408"/>
      <c r="P78" s="408"/>
      <c r="Q78" s="408"/>
      <c r="R78" s="408"/>
      <c r="S78" s="126">
        <f t="shared" si="2"/>
        <v>0.071</v>
      </c>
      <c r="T78" s="408"/>
      <c r="U78" s="408"/>
      <c r="V78" s="408"/>
      <c r="W78" s="408"/>
      <c r="X78" s="408"/>
      <c r="Y78" s="408">
        <f t="shared" si="3"/>
        <v>0.071</v>
      </c>
      <c r="Z78" s="408"/>
      <c r="AA78" s="408"/>
      <c r="AB78" s="206" t="s">
        <v>247</v>
      </c>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row>
    <row r="79" spans="1:70" s="2" customFormat="1" ht="15.75">
      <c r="A79" s="238" t="str">
        <f>1!A80</f>
        <v>1.4.2.27</v>
      </c>
      <c r="B79" s="171" t="str">
        <f>1!B80</f>
        <v>Строительство КЛ-0,4 кВ от ВРУ-2 МКЖД до ВРУ-3 МКЖД ул.Тихая,8, п.Иноземцево, L= 0,025 км (АВВГ 4х35)</v>
      </c>
      <c r="C79" s="508" t="str">
        <f>1!C80</f>
        <v>G_Gelezno_ТР27</v>
      </c>
      <c r="D79" s="408"/>
      <c r="E79" s="408"/>
      <c r="F79" s="408"/>
      <c r="G79" s="126">
        <f>4!J82</f>
        <v>0.025</v>
      </c>
      <c r="H79" s="408"/>
      <c r="I79" s="408"/>
      <c r="J79" s="408"/>
      <c r="K79" s="408"/>
      <c r="L79" s="408"/>
      <c r="M79" s="408">
        <f>4!Q82</f>
        <v>0.025</v>
      </c>
      <c r="N79" s="408"/>
      <c r="O79" s="408"/>
      <c r="P79" s="408"/>
      <c r="Q79" s="408"/>
      <c r="R79" s="408"/>
      <c r="S79" s="126">
        <f t="shared" si="2"/>
        <v>0.025</v>
      </c>
      <c r="T79" s="408"/>
      <c r="U79" s="408"/>
      <c r="V79" s="408"/>
      <c r="W79" s="408"/>
      <c r="X79" s="408"/>
      <c r="Y79" s="408">
        <f t="shared" si="3"/>
        <v>0.025</v>
      </c>
      <c r="Z79" s="408"/>
      <c r="AA79" s="408"/>
      <c r="AB79" s="206" t="s">
        <v>247</v>
      </c>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row>
    <row r="80" spans="1:70" s="2" customFormat="1" ht="15.75">
      <c r="A80" s="238" t="str">
        <f>1!A81</f>
        <v>1.4.2.28</v>
      </c>
      <c r="B80" s="171" t="str">
        <f>1!B81</f>
        <v>Строительство КЛ-0,4 кВ от ВРУ-3 МКЖД до РУ-0,4 кВ КТП-248 ул.Тихая,8, п.Иноземцево, L= 0,107 км (АВВГ 4х35)</v>
      </c>
      <c r="C80" s="508" t="str">
        <f>1!C81</f>
        <v>G_Gelezno_ТР28</v>
      </c>
      <c r="D80" s="408"/>
      <c r="E80" s="408"/>
      <c r="F80" s="408"/>
      <c r="G80" s="126">
        <f>4!J83</f>
        <v>0.107</v>
      </c>
      <c r="H80" s="408"/>
      <c r="I80" s="408"/>
      <c r="J80" s="408"/>
      <c r="K80" s="408"/>
      <c r="L80" s="408"/>
      <c r="M80" s="408">
        <f>4!Q83</f>
        <v>0.107</v>
      </c>
      <c r="N80" s="408"/>
      <c r="O80" s="408"/>
      <c r="P80" s="408"/>
      <c r="Q80" s="408"/>
      <c r="R80" s="408"/>
      <c r="S80" s="126">
        <f t="shared" si="2"/>
        <v>0.107</v>
      </c>
      <c r="T80" s="408"/>
      <c r="U80" s="408"/>
      <c r="V80" s="408"/>
      <c r="W80" s="408"/>
      <c r="X80" s="408"/>
      <c r="Y80" s="408">
        <f t="shared" si="3"/>
        <v>0.107</v>
      </c>
      <c r="Z80" s="408"/>
      <c r="AA80" s="408"/>
      <c r="AB80" s="206" t="s">
        <v>247</v>
      </c>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row>
    <row r="81" spans="1:70" s="2" customFormat="1" ht="15.75">
      <c r="A81" s="238" t="str">
        <f>1!A82</f>
        <v>1.4.2.29</v>
      </c>
      <c r="B81" s="171" t="str">
        <f>1!B82</f>
        <v>Строительство КЛ-0,4 кВ от РУ-0,4 кВ КТП-248 до ВРУ-1 МКЖД ул.Тихая,8, п.Иноземцево, L= 0,102 км (АВВГ 4х35)</v>
      </c>
      <c r="C81" s="508" t="str">
        <f>1!C82</f>
        <v>G_Gelezno_ТР29</v>
      </c>
      <c r="D81" s="408"/>
      <c r="E81" s="408"/>
      <c r="F81" s="408"/>
      <c r="G81" s="126">
        <f>4!J84</f>
        <v>0.102</v>
      </c>
      <c r="H81" s="408"/>
      <c r="I81" s="408"/>
      <c r="J81" s="408"/>
      <c r="K81" s="408"/>
      <c r="L81" s="408"/>
      <c r="M81" s="408">
        <f>4!Q84</f>
        <v>0.102</v>
      </c>
      <c r="N81" s="408"/>
      <c r="O81" s="408"/>
      <c r="P81" s="408"/>
      <c r="Q81" s="408"/>
      <c r="R81" s="408"/>
      <c r="S81" s="126">
        <f t="shared" si="2"/>
        <v>0.102</v>
      </c>
      <c r="T81" s="408"/>
      <c r="U81" s="408"/>
      <c r="V81" s="408"/>
      <c r="W81" s="408"/>
      <c r="X81" s="408"/>
      <c r="Y81" s="408">
        <f t="shared" si="3"/>
        <v>0.102</v>
      </c>
      <c r="Z81" s="408"/>
      <c r="AA81" s="408"/>
      <c r="AB81" s="206" t="s">
        <v>247</v>
      </c>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row>
    <row r="82" spans="1:70" s="2" customFormat="1" ht="15.75">
      <c r="A82" s="238" t="str">
        <f>1!A83</f>
        <v>1.4.2.30</v>
      </c>
      <c r="B82" s="171" t="str">
        <f>1!B83</f>
        <v>Строительство КЛ-0,4 кВ от РУ-0,4 кВ КТП-105 до РЩ МКЖД ул.Октябрьская,96 Б, г.Железноводск, L= 0,186 км (АВБбШВ 4х95)</v>
      </c>
      <c r="C82" s="508" t="str">
        <f>1!C83</f>
        <v>G_Gelezno_ТР30</v>
      </c>
      <c r="D82" s="408"/>
      <c r="E82" s="408"/>
      <c r="F82" s="408"/>
      <c r="G82" s="126">
        <f>4!J85</f>
        <v>0.186</v>
      </c>
      <c r="H82" s="408"/>
      <c r="I82" s="408"/>
      <c r="J82" s="408"/>
      <c r="K82" s="408"/>
      <c r="L82" s="408"/>
      <c r="M82" s="408">
        <f>4!Q85</f>
        <v>0.186</v>
      </c>
      <c r="N82" s="408"/>
      <c r="O82" s="408"/>
      <c r="P82" s="408"/>
      <c r="Q82" s="408"/>
      <c r="R82" s="408"/>
      <c r="S82" s="126">
        <f t="shared" si="2"/>
        <v>0.186</v>
      </c>
      <c r="T82" s="408"/>
      <c r="U82" s="408"/>
      <c r="V82" s="408"/>
      <c r="W82" s="408"/>
      <c r="X82" s="408"/>
      <c r="Y82" s="408">
        <f t="shared" si="3"/>
        <v>0.186</v>
      </c>
      <c r="Z82" s="408"/>
      <c r="AA82" s="408"/>
      <c r="AB82" s="206" t="s">
        <v>247</v>
      </c>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row>
    <row r="83" spans="1:70" s="2" customFormat="1" ht="15.75">
      <c r="A83" s="238" t="str">
        <f>1!A84</f>
        <v>1.4.2.31</v>
      </c>
      <c r="B83" s="171" t="str">
        <f>1!B84</f>
        <v>Строительство КЛ-0,4 кВ от ВРУ-12 до ВРУ-2 в ЖК "Вишнёвый сад" (2-ая очередь), п.Иноземцево, L= 0,1 км (АВБбШВ 4х150)</v>
      </c>
      <c r="C83" s="508" t="str">
        <f>1!C84</f>
        <v>G_Gelezno_ТР31</v>
      </c>
      <c r="D83" s="408"/>
      <c r="E83" s="408"/>
      <c r="F83" s="408"/>
      <c r="G83" s="126">
        <f>4!J86</f>
        <v>0.1</v>
      </c>
      <c r="H83" s="408"/>
      <c r="I83" s="408"/>
      <c r="J83" s="408"/>
      <c r="K83" s="408"/>
      <c r="L83" s="408"/>
      <c r="M83" s="408">
        <f>4!Q86</f>
        <v>0.1</v>
      </c>
      <c r="N83" s="408"/>
      <c r="O83" s="408"/>
      <c r="P83" s="408"/>
      <c r="Q83" s="408"/>
      <c r="R83" s="408"/>
      <c r="S83" s="126">
        <f t="shared" si="2"/>
        <v>0.1</v>
      </c>
      <c r="T83" s="408"/>
      <c r="U83" s="408"/>
      <c r="V83" s="408"/>
      <c r="W83" s="408"/>
      <c r="X83" s="408"/>
      <c r="Y83" s="408">
        <f t="shared" si="3"/>
        <v>0.1</v>
      </c>
      <c r="Z83" s="408"/>
      <c r="AA83" s="408"/>
      <c r="AB83" s="206" t="s">
        <v>247</v>
      </c>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row>
    <row r="84" spans="1:70" s="2" customFormat="1" ht="15.75">
      <c r="A84" s="238" t="str">
        <f>1!A85</f>
        <v>1.4.2.32</v>
      </c>
      <c r="B84" s="171" t="str">
        <f>1!B85</f>
        <v>Строительство КЛ-0,4кВ от ВРУ-16 до ВРУ-10 в ЖК"Вишнёвый сад" (2-ая очередь), п.Иноземцево, L= 0,035 км (АВБбШВ 4х95)</v>
      </c>
      <c r="C84" s="508" t="str">
        <f>1!C85</f>
        <v>G_Gelezno_ТР32</v>
      </c>
      <c r="D84" s="408"/>
      <c r="E84" s="408"/>
      <c r="F84" s="408"/>
      <c r="G84" s="126">
        <f>4!J87</f>
        <v>0.035</v>
      </c>
      <c r="H84" s="408"/>
      <c r="I84" s="408"/>
      <c r="J84" s="408"/>
      <c r="K84" s="408"/>
      <c r="L84" s="408"/>
      <c r="M84" s="408">
        <f>4!Q87</f>
        <v>0.035</v>
      </c>
      <c r="N84" s="408"/>
      <c r="O84" s="408"/>
      <c r="P84" s="408"/>
      <c r="Q84" s="408"/>
      <c r="R84" s="408"/>
      <c r="S84" s="126">
        <f t="shared" si="2"/>
        <v>0.035</v>
      </c>
      <c r="T84" s="408"/>
      <c r="U84" s="408"/>
      <c r="V84" s="408"/>
      <c r="W84" s="408"/>
      <c r="X84" s="408"/>
      <c r="Y84" s="408">
        <f t="shared" si="3"/>
        <v>0.035</v>
      </c>
      <c r="Z84" s="408"/>
      <c r="AA84" s="408"/>
      <c r="AB84" s="206" t="s">
        <v>247</v>
      </c>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row>
    <row r="85" spans="1:70" s="2" customFormat="1" ht="15.75">
      <c r="A85" s="238" t="str">
        <f>1!A86</f>
        <v>1.4.2.33</v>
      </c>
      <c r="B85" s="171" t="str">
        <f>1!B86</f>
        <v>Строительство КЛ-0,4 кВ от опоры ВЛ-0,4 кВ № 21 до ВРУ-1 в ЖК "Вишнёвый сад" (2-ая очередь), п.Иноземцево, L= 0,05 км (АВБбШВ 4х120)</v>
      </c>
      <c r="C85" s="508" t="str">
        <f>1!C86</f>
        <v>G_Gelezno_ТР33</v>
      </c>
      <c r="D85" s="408"/>
      <c r="E85" s="408"/>
      <c r="F85" s="408"/>
      <c r="G85" s="126">
        <f>4!J88</f>
        <v>0.05</v>
      </c>
      <c r="H85" s="408"/>
      <c r="I85" s="408"/>
      <c r="J85" s="408"/>
      <c r="K85" s="408"/>
      <c r="L85" s="408"/>
      <c r="M85" s="408">
        <f>4!Q88</f>
        <v>0.05</v>
      </c>
      <c r="N85" s="408"/>
      <c r="O85" s="408"/>
      <c r="P85" s="408"/>
      <c r="Q85" s="408"/>
      <c r="R85" s="408"/>
      <c r="S85" s="126">
        <f t="shared" si="2"/>
        <v>0.05</v>
      </c>
      <c r="T85" s="408"/>
      <c r="U85" s="408"/>
      <c r="V85" s="408"/>
      <c r="W85" s="408"/>
      <c r="X85" s="408"/>
      <c r="Y85" s="408">
        <f t="shared" si="3"/>
        <v>0.05</v>
      </c>
      <c r="Z85" s="408"/>
      <c r="AA85" s="408"/>
      <c r="AB85" s="206" t="s">
        <v>247</v>
      </c>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row>
    <row r="86" spans="1:70" s="2" customFormat="1" ht="15.75">
      <c r="A86" s="238" t="str">
        <f>1!A87</f>
        <v>1.4.2.34</v>
      </c>
      <c r="B86" s="171" t="str">
        <f>1!B87</f>
        <v>Строительство КЛ-0,4 кВ от РУ-0,4 кВ 2КТП-244 до ВРУ-12 в ЖК "Вишнёвый сад" (2-ая очередь), п.Иноземцево, L= 0,17 км (АВБбШВ 4х185) км</v>
      </c>
      <c r="C86" s="508" t="str">
        <f>1!C87</f>
        <v>G_Gelezno_ТР34</v>
      </c>
      <c r="D86" s="408"/>
      <c r="E86" s="408"/>
      <c r="F86" s="408"/>
      <c r="G86" s="126">
        <f>4!J89</f>
        <v>0.17</v>
      </c>
      <c r="H86" s="408"/>
      <c r="I86" s="408"/>
      <c r="J86" s="408"/>
      <c r="K86" s="408"/>
      <c r="L86" s="408"/>
      <c r="M86" s="408">
        <f>4!Q89</f>
        <v>0.17</v>
      </c>
      <c r="N86" s="408"/>
      <c r="O86" s="408"/>
      <c r="P86" s="408"/>
      <c r="Q86" s="408"/>
      <c r="R86" s="408"/>
      <c r="S86" s="126">
        <f t="shared" si="2"/>
        <v>0.17</v>
      </c>
      <c r="T86" s="408"/>
      <c r="U86" s="408"/>
      <c r="V86" s="408"/>
      <c r="W86" s="408"/>
      <c r="X86" s="408"/>
      <c r="Y86" s="408">
        <f t="shared" si="3"/>
        <v>0.17</v>
      </c>
      <c r="Z86" s="408"/>
      <c r="AA86" s="408"/>
      <c r="AB86" s="206" t="s">
        <v>247</v>
      </c>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row>
    <row r="87" spans="1:70" s="2" customFormat="1" ht="15.75">
      <c r="A87" s="238" t="str">
        <f>1!A88</f>
        <v>1.4.2.35</v>
      </c>
      <c r="B87" s="171" t="str">
        <f>1!B88</f>
        <v>Строительство КЛ-0,4 кВ от РУ-0,4 кВ 2КТП-244 до ВРУ-15 в ЖК "Вишнёвый сад" (2-ая очередь), п.Иноземцево, L= 0,08 км (АВБбШВ 4х95)</v>
      </c>
      <c r="C87" s="508" t="str">
        <f>1!C88</f>
        <v>G_Gelezno_ТР35</v>
      </c>
      <c r="D87" s="408"/>
      <c r="E87" s="408"/>
      <c r="F87" s="408"/>
      <c r="G87" s="126">
        <f>4!J90</f>
        <v>0.08</v>
      </c>
      <c r="H87" s="408"/>
      <c r="I87" s="408"/>
      <c r="J87" s="408"/>
      <c r="K87" s="408"/>
      <c r="L87" s="408"/>
      <c r="M87" s="408">
        <f>4!Q90</f>
        <v>0.08</v>
      </c>
      <c r="N87" s="408"/>
      <c r="O87" s="408"/>
      <c r="P87" s="408"/>
      <c r="Q87" s="408"/>
      <c r="R87" s="408"/>
      <c r="S87" s="126">
        <f t="shared" si="2"/>
        <v>0.08</v>
      </c>
      <c r="T87" s="408"/>
      <c r="U87" s="408"/>
      <c r="V87" s="408"/>
      <c r="W87" s="408"/>
      <c r="X87" s="408"/>
      <c r="Y87" s="408">
        <f t="shared" si="3"/>
        <v>0.08</v>
      </c>
      <c r="Z87" s="408"/>
      <c r="AA87" s="408"/>
      <c r="AB87" s="206" t="s">
        <v>247</v>
      </c>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row>
    <row r="88" spans="1:70" s="2" customFormat="1" ht="31.5">
      <c r="A88" s="238" t="str">
        <f>1!A89</f>
        <v>1.4.2.36</v>
      </c>
      <c r="B88" s="171" t="str">
        <f>1!B89</f>
        <v>Строительство ВЛ-0,4 кВ от РУ-0,4 кВ КТП-241 ЖК "Вишнёвый сад" (2-ая очередь), п.Иноземцево, СИП-2 3х150+1х95 - 0,204 км СИП-2 3х120+1х95 - 0,275 км и СИП-2 3х95+1х70 - 0,408 км</v>
      </c>
      <c r="C88" s="508" t="str">
        <f>1!C89</f>
        <v>G_Gelezno_ТР36</v>
      </c>
      <c r="D88" s="408"/>
      <c r="E88" s="408"/>
      <c r="F88" s="408"/>
      <c r="G88" s="126">
        <f>4!J91</f>
        <v>0.887</v>
      </c>
      <c r="H88" s="408"/>
      <c r="I88" s="408"/>
      <c r="J88" s="408"/>
      <c r="K88" s="408"/>
      <c r="L88" s="408"/>
      <c r="M88" s="408">
        <f>4!Q91</f>
        <v>0.887</v>
      </c>
      <c r="N88" s="408"/>
      <c r="O88" s="408"/>
      <c r="P88" s="408"/>
      <c r="Q88" s="408"/>
      <c r="R88" s="408"/>
      <c r="S88" s="126">
        <f t="shared" si="2"/>
        <v>0.887</v>
      </c>
      <c r="T88" s="408"/>
      <c r="U88" s="408"/>
      <c r="V88" s="408"/>
      <c r="W88" s="408"/>
      <c r="X88" s="408"/>
      <c r="Y88" s="408">
        <f t="shared" si="3"/>
        <v>0.887</v>
      </c>
      <c r="Z88" s="408"/>
      <c r="AA88" s="408"/>
      <c r="AB88" s="206" t="s">
        <v>247</v>
      </c>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row>
    <row r="89" spans="1:70" s="2" customFormat="1" ht="15.75">
      <c r="A89" s="238" t="str">
        <f>1!A90</f>
        <v>1.4.2.37</v>
      </c>
      <c r="B89" s="171" t="str">
        <f>1!B90</f>
        <v>Строительство КТП-249 пер.Промышленный,24, п.Иноземцево (ТМГ-630 кВА)(Линия 2), L=0,143 км</v>
      </c>
      <c r="C89" s="508" t="str">
        <f>1!C90</f>
        <v>G_Gelezno_ТР37</v>
      </c>
      <c r="D89" s="408"/>
      <c r="E89" s="408">
        <f>4!H92</f>
        <v>0.63</v>
      </c>
      <c r="F89" s="408"/>
      <c r="G89" s="126"/>
      <c r="H89" s="408"/>
      <c r="I89" s="408"/>
      <c r="J89" s="408"/>
      <c r="K89" s="408">
        <f>4!O92</f>
        <v>0.63</v>
      </c>
      <c r="L89" s="408"/>
      <c r="M89" s="408"/>
      <c r="N89" s="408"/>
      <c r="O89" s="408"/>
      <c r="P89" s="408"/>
      <c r="Q89" s="408">
        <f>E89</f>
        <v>0.63</v>
      </c>
      <c r="R89" s="408"/>
      <c r="S89" s="126"/>
      <c r="T89" s="408"/>
      <c r="U89" s="408"/>
      <c r="V89" s="408"/>
      <c r="W89" s="408">
        <f>Q89</f>
        <v>0.63</v>
      </c>
      <c r="X89" s="408"/>
      <c r="Y89" s="408"/>
      <c r="Z89" s="408"/>
      <c r="AA89" s="408"/>
      <c r="AB89" s="206" t="s">
        <v>247</v>
      </c>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row>
    <row r="90" spans="1:70" s="2" customFormat="1" ht="9" customHeight="1" thickBot="1">
      <c r="A90" s="241"/>
      <c r="B90" s="353"/>
      <c r="C90" s="259"/>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15"/>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row>
    <row r="91" spans="1:70" ht="15.75">
      <c r="A91" s="233"/>
      <c r="B91" s="257"/>
      <c r="C91" s="234"/>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25"/>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row>
    <row r="92" spans="1:70" ht="15.75">
      <c r="A92" s="233"/>
      <c r="B92" s="257"/>
      <c r="C92" s="234"/>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25"/>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row>
    <row r="93" spans="1:70" ht="15.75">
      <c r="A93" s="233"/>
      <c r="B93" s="257"/>
      <c r="C93" s="234"/>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25"/>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row>
    <row r="94" spans="1:70" ht="15.75" customHeight="1">
      <c r="A94" s="233"/>
      <c r="B94" s="603" t="s">
        <v>595</v>
      </c>
      <c r="C94" s="603"/>
      <c r="D94" s="603"/>
      <c r="E94" s="603"/>
      <c r="F94" s="603"/>
      <c r="G94" s="603"/>
      <c r="H94" s="603"/>
      <c r="I94" s="603"/>
      <c r="J94" s="603"/>
      <c r="K94" s="603"/>
      <c r="L94" s="603"/>
      <c r="M94" s="603"/>
      <c r="N94" s="603"/>
      <c r="O94" s="603"/>
      <c r="P94" s="603"/>
      <c r="Q94" s="603"/>
      <c r="R94" s="603"/>
      <c r="S94" s="603"/>
      <c r="T94" s="603"/>
      <c r="U94" s="603"/>
      <c r="V94" s="603"/>
      <c r="W94" s="258"/>
      <c r="X94" s="258"/>
      <c r="Y94" s="258"/>
      <c r="Z94" s="258"/>
      <c r="AA94" s="258"/>
      <c r="AB94" s="225"/>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row>
    <row r="99" ht="15.75">
      <c r="B99" s="78"/>
    </row>
  </sheetData>
  <sheetProtection/>
  <mergeCells count="25">
    <mergeCell ref="BL20:BR20"/>
    <mergeCell ref="AX18:BD19"/>
    <mergeCell ref="BE18:BK19"/>
    <mergeCell ref="BL18:BR19"/>
    <mergeCell ref="AQ20:AW20"/>
    <mergeCell ref="AX20:BD20"/>
    <mergeCell ref="BE20:BK20"/>
    <mergeCell ref="AQ18:AW19"/>
    <mergeCell ref="A12:AB12"/>
    <mergeCell ref="A16:AA16"/>
    <mergeCell ref="V20:AA20"/>
    <mergeCell ref="B17:B21"/>
    <mergeCell ref="A17:A21"/>
    <mergeCell ref="AB17:AB21"/>
    <mergeCell ref="A13:AB13"/>
    <mergeCell ref="A14:AB14"/>
    <mergeCell ref="D20:I20"/>
    <mergeCell ref="J20:O20"/>
    <mergeCell ref="B94:V94"/>
    <mergeCell ref="D17:O19"/>
    <mergeCell ref="A15:AB15"/>
    <mergeCell ref="P20:U20"/>
    <mergeCell ref="P18:AA19"/>
    <mergeCell ref="P17:AA17"/>
    <mergeCell ref="C17:C21"/>
  </mergeCells>
  <printOptions/>
  <pageMargins left="0.5905511811023623" right="0.1968503937007874" top="0.3937007874015748" bottom="0.1968503937007874" header="0.11811023622047245" footer="0.11811023622047245"/>
  <pageSetup horizontalDpi="600" verticalDpi="600" orientation="portrait" paperSize="8" scale="70" r:id="rId1"/>
</worksheet>
</file>

<file path=xl/worksheets/sheet7.xml><?xml version="1.0" encoding="utf-8"?>
<worksheet xmlns="http://schemas.openxmlformats.org/spreadsheetml/2006/main" xmlns:r="http://schemas.openxmlformats.org/officeDocument/2006/relationships">
  <sheetPr>
    <tabColor rgb="FF92D050"/>
  </sheetPr>
  <dimension ref="A1:AU106"/>
  <sheetViews>
    <sheetView view="pageBreakPreview" zoomScale="85" zoomScaleSheetLayoutView="85" zoomScalePageLayoutView="0" workbookViewId="0" topLeftCell="A47">
      <selection activeCell="B67" sqref="B67"/>
    </sheetView>
  </sheetViews>
  <sheetFormatPr defaultColWidth="9.00390625" defaultRowHeight="15.75"/>
  <cols>
    <col min="1" max="1" width="7.25390625" style="1" customWidth="1"/>
    <col min="2" max="2" width="59.00390625" style="1" customWidth="1"/>
    <col min="3" max="3" width="14.625" style="1" customWidth="1"/>
    <col min="4" max="10" width="7.125" style="1" customWidth="1"/>
    <col min="11" max="12" width="6.00390625" style="1" customWidth="1"/>
    <col min="13" max="13" width="6.75390625" style="1" customWidth="1"/>
    <col min="14" max="14" width="6.00390625" style="1" customWidth="1"/>
    <col min="15" max="15" width="7.125" style="1" customWidth="1"/>
    <col min="16" max="19" width="6.00390625" style="1" customWidth="1"/>
    <col min="20" max="20" width="7.125" style="1" customWidth="1"/>
    <col min="21" max="21" width="6.00390625" style="1" customWidth="1"/>
    <col min="22" max="22" width="7.125" style="1" customWidth="1"/>
    <col min="23" max="26" width="6.00390625" style="1" customWidth="1"/>
    <col min="27" max="27" width="6.625" style="1" customWidth="1"/>
    <col min="28" max="28" width="6.00390625" style="1" customWidth="1"/>
    <col min="29" max="29" width="6.625" style="1" customWidth="1"/>
    <col min="30" max="33" width="6.00390625" style="1" customWidth="1"/>
    <col min="34" max="34" width="6.875" style="1" customWidth="1"/>
    <col min="35" max="35" width="6.00390625" style="1" customWidth="1"/>
    <col min="36" max="36" width="6.875" style="1" customWidth="1"/>
    <col min="37" max="40" width="6.00390625" style="1" customWidth="1"/>
    <col min="41" max="41" width="6.50390625" style="1" customWidth="1"/>
    <col min="42" max="42" width="6.00390625" style="1" customWidth="1"/>
    <col min="43" max="43" width="7.00390625" style="1" customWidth="1"/>
    <col min="44" max="45" width="6.00390625" style="1" customWidth="1"/>
    <col min="46" max="46" width="23.50390625" style="1" customWidth="1"/>
    <col min="47" max="56" width="5.00390625" style="1" customWidth="1"/>
    <col min="57" max="16384" width="9.00390625" style="1" customWidth="1"/>
  </cols>
  <sheetData>
    <row r="1" ht="15.75">
      <c r="AT1" s="250" t="s">
        <v>611</v>
      </c>
    </row>
    <row r="2" ht="15.75">
      <c r="AT2" s="251" t="s">
        <v>423</v>
      </c>
    </row>
    <row r="3" ht="15.75">
      <c r="AT3" s="251" t="s">
        <v>589</v>
      </c>
    </row>
    <row r="4" ht="15.75">
      <c r="AT4" s="251"/>
    </row>
    <row r="5" ht="15.75">
      <c r="AT5" s="251" t="s">
        <v>591</v>
      </c>
    </row>
    <row r="6" ht="15.75">
      <c r="AT6" s="251" t="s">
        <v>592</v>
      </c>
    </row>
    <row r="7" ht="15.75">
      <c r="AT7" s="251"/>
    </row>
    <row r="8" ht="15.75">
      <c r="AT8" s="251" t="s">
        <v>597</v>
      </c>
    </row>
    <row r="9" ht="15.75">
      <c r="AT9" s="251"/>
    </row>
    <row r="10" spans="44:46" ht="15.75">
      <c r="AR10" s="1" t="s">
        <v>593</v>
      </c>
      <c r="AT10" s="251" t="s">
        <v>724</v>
      </c>
    </row>
    <row r="11" spans="1:31" ht="15.75">
      <c r="A11" s="629" t="s">
        <v>199</v>
      </c>
      <c r="B11" s="629"/>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row>
    <row r="12" spans="1:47" ht="18.75">
      <c r="A12" s="532" t="str">
        <f>1!A11:U11</f>
        <v>Форма 1. Перечени инвестиционных проектов</v>
      </c>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75"/>
      <c r="AG12" s="75"/>
      <c r="AH12" s="75"/>
      <c r="AI12" s="75"/>
      <c r="AJ12" s="75"/>
      <c r="AK12" s="75"/>
      <c r="AL12" s="75"/>
      <c r="AM12" s="75"/>
      <c r="AN12" s="75"/>
      <c r="AO12" s="75"/>
      <c r="AP12" s="75"/>
      <c r="AQ12" s="75"/>
      <c r="AR12" s="75"/>
      <c r="AS12" s="75"/>
      <c r="AT12" s="75"/>
      <c r="AU12" s="75"/>
    </row>
    <row r="13" spans="1:47" ht="15.75">
      <c r="A13" s="542" t="str">
        <f>1!A14:U14</f>
        <v>Инвестиционная программа Филиала "Железноводские электрические сети" ООО "КЭУК".</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76"/>
      <c r="AG13" s="76"/>
      <c r="AH13" s="76"/>
      <c r="AI13" s="76"/>
      <c r="AJ13" s="76"/>
      <c r="AK13" s="76"/>
      <c r="AL13" s="76"/>
      <c r="AM13" s="76"/>
      <c r="AN13" s="76"/>
      <c r="AO13" s="76"/>
      <c r="AP13" s="76"/>
      <c r="AQ13" s="76"/>
      <c r="AR13" s="76"/>
      <c r="AS13" s="76"/>
      <c r="AT13" s="76"/>
      <c r="AU13" s="76"/>
    </row>
    <row r="14" spans="1:45" ht="16.5">
      <c r="A14" s="561"/>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2"/>
      <c r="AG14" s="2"/>
      <c r="AH14" s="2"/>
      <c r="AI14" s="2"/>
      <c r="AJ14" s="2"/>
      <c r="AK14" s="2"/>
      <c r="AS14" s="17"/>
    </row>
    <row r="15" spans="1:46" ht="15.75">
      <c r="A15" s="561" t="str">
        <f>1!A17:U17</f>
        <v>Год раскрытия информации: 2018 год</v>
      </c>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43"/>
      <c r="AG15" s="43"/>
      <c r="AH15" s="43"/>
      <c r="AI15" s="43"/>
      <c r="AJ15" s="43"/>
      <c r="AK15" s="43"/>
      <c r="AL15" s="43"/>
      <c r="AM15" s="43"/>
      <c r="AN15" s="43"/>
      <c r="AO15" s="43"/>
      <c r="AP15" s="43"/>
      <c r="AQ15" s="43"/>
      <c r="AR15" s="43"/>
      <c r="AS15" s="43"/>
      <c r="AT15" s="43"/>
    </row>
    <row r="16" spans="1:45" ht="16.5" thickBot="1">
      <c r="A16" s="604"/>
      <c r="B16" s="604"/>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row>
    <row r="17" spans="1:46" ht="24.75" customHeight="1">
      <c r="A17" s="605" t="s">
        <v>604</v>
      </c>
      <c r="B17" s="622" t="s">
        <v>452</v>
      </c>
      <c r="C17" s="622" t="s">
        <v>256</v>
      </c>
      <c r="D17" s="557" t="s">
        <v>496</v>
      </c>
      <c r="E17" s="557"/>
      <c r="F17" s="557"/>
      <c r="G17" s="557"/>
      <c r="H17" s="557"/>
      <c r="I17" s="557"/>
      <c r="J17" s="557"/>
      <c r="K17" s="557"/>
      <c r="L17" s="557"/>
      <c r="M17" s="557"/>
      <c r="N17" s="557"/>
      <c r="O17" s="557"/>
      <c r="P17" s="557"/>
      <c r="Q17" s="557"/>
      <c r="R17" s="571" t="s">
        <v>610</v>
      </c>
      <c r="S17" s="572"/>
      <c r="T17" s="572"/>
      <c r="U17" s="572"/>
      <c r="V17" s="572"/>
      <c r="W17" s="572"/>
      <c r="X17" s="572"/>
      <c r="Y17" s="572"/>
      <c r="Z17" s="572"/>
      <c r="AA17" s="572"/>
      <c r="AB17" s="572"/>
      <c r="AC17" s="572"/>
      <c r="AD17" s="572"/>
      <c r="AE17" s="573"/>
      <c r="AF17" s="656"/>
      <c r="AG17" s="656"/>
      <c r="AH17" s="656"/>
      <c r="AI17" s="656"/>
      <c r="AJ17" s="656"/>
      <c r="AK17" s="656"/>
      <c r="AL17" s="656"/>
      <c r="AM17" s="656"/>
      <c r="AN17" s="656"/>
      <c r="AO17" s="656"/>
      <c r="AP17" s="656"/>
      <c r="AQ17" s="656"/>
      <c r="AR17" s="656"/>
      <c r="AS17" s="656"/>
      <c r="AT17" s="651" t="s">
        <v>21</v>
      </c>
    </row>
    <row r="18" spans="1:46" ht="29.25" customHeight="1">
      <c r="A18" s="606"/>
      <c r="B18" s="613"/>
      <c r="C18" s="613"/>
      <c r="D18" s="556"/>
      <c r="E18" s="556"/>
      <c r="F18" s="556"/>
      <c r="G18" s="556"/>
      <c r="H18" s="556"/>
      <c r="I18" s="556"/>
      <c r="J18" s="556"/>
      <c r="K18" s="556"/>
      <c r="L18" s="556"/>
      <c r="M18" s="556"/>
      <c r="N18" s="556"/>
      <c r="O18" s="556"/>
      <c r="P18" s="556"/>
      <c r="Q18" s="556"/>
      <c r="R18" s="574"/>
      <c r="S18" s="575"/>
      <c r="T18" s="575"/>
      <c r="U18" s="575"/>
      <c r="V18" s="575"/>
      <c r="W18" s="575"/>
      <c r="X18" s="575"/>
      <c r="Y18" s="575"/>
      <c r="Z18" s="575"/>
      <c r="AA18" s="575"/>
      <c r="AB18" s="575"/>
      <c r="AC18" s="575"/>
      <c r="AD18" s="575"/>
      <c r="AE18" s="576"/>
      <c r="AF18" s="601" t="s">
        <v>464</v>
      </c>
      <c r="AG18" s="601"/>
      <c r="AH18" s="601"/>
      <c r="AI18" s="601"/>
      <c r="AJ18" s="601"/>
      <c r="AK18" s="601"/>
      <c r="AL18" s="601"/>
      <c r="AM18" s="601"/>
      <c r="AN18" s="601"/>
      <c r="AO18" s="601"/>
      <c r="AP18" s="601"/>
      <c r="AQ18" s="601"/>
      <c r="AR18" s="601"/>
      <c r="AS18" s="601"/>
      <c r="AT18" s="652"/>
    </row>
    <row r="19" spans="1:46" ht="45" customHeight="1">
      <c r="A19" s="606"/>
      <c r="B19" s="613"/>
      <c r="C19" s="613"/>
      <c r="D19" s="612" t="s">
        <v>440</v>
      </c>
      <c r="E19" s="612"/>
      <c r="F19" s="612"/>
      <c r="G19" s="612"/>
      <c r="H19" s="612"/>
      <c r="I19" s="612"/>
      <c r="J19" s="612"/>
      <c r="K19" s="613" t="s">
        <v>623</v>
      </c>
      <c r="L19" s="613"/>
      <c r="M19" s="613"/>
      <c r="N19" s="613"/>
      <c r="O19" s="613"/>
      <c r="P19" s="613"/>
      <c r="Q19" s="613"/>
      <c r="R19" s="612" t="s">
        <v>440</v>
      </c>
      <c r="S19" s="612"/>
      <c r="T19" s="612"/>
      <c r="U19" s="612"/>
      <c r="V19" s="612"/>
      <c r="W19" s="612"/>
      <c r="X19" s="612"/>
      <c r="Y19" s="613" t="s">
        <v>623</v>
      </c>
      <c r="Z19" s="613"/>
      <c r="AA19" s="613"/>
      <c r="AB19" s="613"/>
      <c r="AC19" s="613"/>
      <c r="AD19" s="613"/>
      <c r="AE19" s="613"/>
      <c r="AF19" s="612" t="s">
        <v>440</v>
      </c>
      <c r="AG19" s="612"/>
      <c r="AH19" s="612"/>
      <c r="AI19" s="612"/>
      <c r="AJ19" s="612"/>
      <c r="AK19" s="612"/>
      <c r="AL19" s="612"/>
      <c r="AM19" s="613" t="s">
        <v>623</v>
      </c>
      <c r="AN19" s="613"/>
      <c r="AO19" s="613"/>
      <c r="AP19" s="613"/>
      <c r="AQ19" s="613"/>
      <c r="AR19" s="613"/>
      <c r="AS19" s="613"/>
      <c r="AT19" s="652"/>
    </row>
    <row r="20" spans="1:46" ht="60.75" customHeight="1" thickBot="1">
      <c r="A20" s="607"/>
      <c r="B20" s="614"/>
      <c r="C20" s="614"/>
      <c r="D20" s="176" t="s">
        <v>427</v>
      </c>
      <c r="E20" s="176" t="s">
        <v>428</v>
      </c>
      <c r="F20" s="176" t="s">
        <v>56</v>
      </c>
      <c r="G20" s="176" t="s">
        <v>40</v>
      </c>
      <c r="H20" s="176" t="s">
        <v>41</v>
      </c>
      <c r="I20" s="176" t="s">
        <v>424</v>
      </c>
      <c r="J20" s="244" t="s">
        <v>6</v>
      </c>
      <c r="K20" s="176" t="s">
        <v>427</v>
      </c>
      <c r="L20" s="176" t="s">
        <v>428</v>
      </c>
      <c r="M20" s="176" t="s">
        <v>56</v>
      </c>
      <c r="N20" s="176" t="s">
        <v>40</v>
      </c>
      <c r="O20" s="176" t="s">
        <v>41</v>
      </c>
      <c r="P20" s="176" t="s">
        <v>424</v>
      </c>
      <c r="Q20" s="244" t="s">
        <v>6</v>
      </c>
      <c r="R20" s="176" t="s">
        <v>427</v>
      </c>
      <c r="S20" s="176" t="s">
        <v>428</v>
      </c>
      <c r="T20" s="176" t="s">
        <v>56</v>
      </c>
      <c r="U20" s="176" t="s">
        <v>40</v>
      </c>
      <c r="V20" s="176" t="s">
        <v>41</v>
      </c>
      <c r="W20" s="176" t="s">
        <v>424</v>
      </c>
      <c r="X20" s="244" t="s">
        <v>6</v>
      </c>
      <c r="Y20" s="176" t="s">
        <v>427</v>
      </c>
      <c r="Z20" s="176" t="s">
        <v>428</v>
      </c>
      <c r="AA20" s="176" t="s">
        <v>56</v>
      </c>
      <c r="AB20" s="176" t="s">
        <v>40</v>
      </c>
      <c r="AC20" s="176" t="s">
        <v>41</v>
      </c>
      <c r="AD20" s="176" t="s">
        <v>424</v>
      </c>
      <c r="AE20" s="244" t="s">
        <v>6</v>
      </c>
      <c r="AF20" s="176" t="s">
        <v>427</v>
      </c>
      <c r="AG20" s="176" t="s">
        <v>428</v>
      </c>
      <c r="AH20" s="176" t="s">
        <v>56</v>
      </c>
      <c r="AI20" s="176" t="s">
        <v>40</v>
      </c>
      <c r="AJ20" s="176" t="s">
        <v>41</v>
      </c>
      <c r="AK20" s="176" t="s">
        <v>424</v>
      </c>
      <c r="AL20" s="244" t="s">
        <v>6</v>
      </c>
      <c r="AM20" s="176" t="s">
        <v>427</v>
      </c>
      <c r="AN20" s="176" t="s">
        <v>428</v>
      </c>
      <c r="AO20" s="176" t="s">
        <v>56</v>
      </c>
      <c r="AP20" s="176" t="s">
        <v>40</v>
      </c>
      <c r="AQ20" s="176" t="s">
        <v>41</v>
      </c>
      <c r="AR20" s="176" t="s">
        <v>424</v>
      </c>
      <c r="AS20" s="244" t="s">
        <v>6</v>
      </c>
      <c r="AT20" s="653"/>
    </row>
    <row r="21" spans="1:46" ht="16.5" thickBot="1">
      <c r="A21" s="246">
        <v>1</v>
      </c>
      <c r="B21" s="247">
        <v>2</v>
      </c>
      <c r="C21" s="247">
        <v>3</v>
      </c>
      <c r="D21" s="248" t="s">
        <v>540</v>
      </c>
      <c r="E21" s="248" t="s">
        <v>541</v>
      </c>
      <c r="F21" s="248" t="s">
        <v>542</v>
      </c>
      <c r="G21" s="248" t="s">
        <v>543</v>
      </c>
      <c r="H21" s="248" t="s">
        <v>544</v>
      </c>
      <c r="I21" s="248" t="s">
        <v>545</v>
      </c>
      <c r="J21" s="248" t="s">
        <v>32</v>
      </c>
      <c r="K21" s="248" t="s">
        <v>33</v>
      </c>
      <c r="L21" s="248" t="s">
        <v>34</v>
      </c>
      <c r="M21" s="248" t="s">
        <v>35</v>
      </c>
      <c r="N21" s="248" t="s">
        <v>36</v>
      </c>
      <c r="O21" s="248" t="s">
        <v>37</v>
      </c>
      <c r="P21" s="248" t="s">
        <v>38</v>
      </c>
      <c r="Q21" s="248" t="s">
        <v>39</v>
      </c>
      <c r="R21" s="248" t="s">
        <v>57</v>
      </c>
      <c r="S21" s="248" t="s">
        <v>58</v>
      </c>
      <c r="T21" s="248" t="s">
        <v>59</v>
      </c>
      <c r="U21" s="248" t="s">
        <v>60</v>
      </c>
      <c r="V21" s="248" t="s">
        <v>61</v>
      </c>
      <c r="W21" s="248" t="s">
        <v>62</v>
      </c>
      <c r="X21" s="248" t="s">
        <v>63</v>
      </c>
      <c r="Y21" s="248" t="s">
        <v>64</v>
      </c>
      <c r="Z21" s="248" t="s">
        <v>65</v>
      </c>
      <c r="AA21" s="248" t="s">
        <v>66</v>
      </c>
      <c r="AB21" s="248" t="s">
        <v>67</v>
      </c>
      <c r="AC21" s="248" t="s">
        <v>68</v>
      </c>
      <c r="AD21" s="248" t="s">
        <v>69</v>
      </c>
      <c r="AE21" s="248" t="s">
        <v>70</v>
      </c>
      <c r="AF21" s="248" t="s">
        <v>94</v>
      </c>
      <c r="AG21" s="248" t="s">
        <v>95</v>
      </c>
      <c r="AH21" s="248" t="s">
        <v>96</v>
      </c>
      <c r="AI21" s="248" t="s">
        <v>97</v>
      </c>
      <c r="AJ21" s="248" t="s">
        <v>98</v>
      </c>
      <c r="AK21" s="248" t="s">
        <v>99</v>
      </c>
      <c r="AL21" s="248" t="s">
        <v>100</v>
      </c>
      <c r="AM21" s="248" t="s">
        <v>101</v>
      </c>
      <c r="AN21" s="248" t="s">
        <v>102</v>
      </c>
      <c r="AO21" s="248" t="s">
        <v>103</v>
      </c>
      <c r="AP21" s="248" t="s">
        <v>104</v>
      </c>
      <c r="AQ21" s="248" t="s">
        <v>105</v>
      </c>
      <c r="AR21" s="248" t="s">
        <v>106</v>
      </c>
      <c r="AS21" s="248" t="s">
        <v>107</v>
      </c>
      <c r="AT21" s="267">
        <v>8</v>
      </c>
    </row>
    <row r="22" spans="1:46" s="2" customFormat="1" ht="15.75">
      <c r="A22" s="323"/>
      <c r="B22" s="194" t="s">
        <v>475</v>
      </c>
      <c r="C22" s="324" t="s">
        <v>261</v>
      </c>
      <c r="D22" s="218">
        <f>SUM(D23:D28)</f>
        <v>1.38</v>
      </c>
      <c r="E22" s="218">
        <f aca="true" t="shared" si="0" ref="E22:J22">SUM(E23:E28)</f>
        <v>0</v>
      </c>
      <c r="F22" s="218">
        <f t="shared" si="0"/>
        <v>13.001000000000001</v>
      </c>
      <c r="G22" s="218">
        <f t="shared" si="0"/>
        <v>0</v>
      </c>
      <c r="H22" s="218">
        <f t="shared" si="0"/>
        <v>5.946</v>
      </c>
      <c r="I22" s="218">
        <f t="shared" si="0"/>
        <v>0</v>
      </c>
      <c r="J22" s="218">
        <f t="shared" si="0"/>
        <v>0</v>
      </c>
      <c r="K22" s="218">
        <f>SUM(K23:K28)</f>
        <v>1.38</v>
      </c>
      <c r="L22" s="218">
        <f aca="true" t="shared" si="1" ref="L22:Q22">SUM(L23:L28)</f>
        <v>0</v>
      </c>
      <c r="M22" s="218">
        <f t="shared" si="1"/>
        <v>13.001000000000001</v>
      </c>
      <c r="N22" s="218">
        <f t="shared" si="1"/>
        <v>0</v>
      </c>
      <c r="O22" s="218">
        <f t="shared" si="1"/>
        <v>5.946</v>
      </c>
      <c r="P22" s="218">
        <f t="shared" si="1"/>
        <v>0</v>
      </c>
      <c r="Q22" s="218">
        <f t="shared" si="1"/>
        <v>0</v>
      </c>
      <c r="R22" s="218">
        <f>SUM(R23:R28)</f>
        <v>1.38</v>
      </c>
      <c r="S22" s="218">
        <f aca="true" t="shared" si="2" ref="S22:X22">SUM(S23:S28)</f>
        <v>0</v>
      </c>
      <c r="T22" s="218">
        <f t="shared" si="2"/>
        <v>13.001000000000001</v>
      </c>
      <c r="U22" s="218">
        <f t="shared" si="2"/>
        <v>0</v>
      </c>
      <c r="V22" s="218">
        <f t="shared" si="2"/>
        <v>5.946</v>
      </c>
      <c r="W22" s="218">
        <f t="shared" si="2"/>
        <v>0</v>
      </c>
      <c r="X22" s="218">
        <f t="shared" si="2"/>
        <v>0</v>
      </c>
      <c r="Y22" s="218">
        <f>SUM(Y23:Y28)</f>
        <v>1.38</v>
      </c>
      <c r="Z22" s="218">
        <f aca="true" t="shared" si="3" ref="Z22:AE22">SUM(Z23:Z28)</f>
        <v>0</v>
      </c>
      <c r="AA22" s="218">
        <f t="shared" si="3"/>
        <v>13.001000000000001</v>
      </c>
      <c r="AB22" s="218">
        <f t="shared" si="3"/>
        <v>0</v>
      </c>
      <c r="AC22" s="218">
        <f t="shared" si="3"/>
        <v>5.946</v>
      </c>
      <c r="AD22" s="218">
        <f t="shared" si="3"/>
        <v>0</v>
      </c>
      <c r="AE22" s="218">
        <f t="shared" si="3"/>
        <v>0</v>
      </c>
      <c r="AF22" s="218">
        <f>SUM(AF23:AF28)</f>
        <v>1.38</v>
      </c>
      <c r="AG22" s="218">
        <f aca="true" t="shared" si="4" ref="AG22:AL22">SUM(AG23:AG28)</f>
        <v>0</v>
      </c>
      <c r="AH22" s="218">
        <f t="shared" si="4"/>
        <v>13.001000000000001</v>
      </c>
      <c r="AI22" s="218">
        <f t="shared" si="4"/>
        <v>0</v>
      </c>
      <c r="AJ22" s="218">
        <f t="shared" si="4"/>
        <v>5.946</v>
      </c>
      <c r="AK22" s="218">
        <f t="shared" si="4"/>
        <v>0</v>
      </c>
      <c r="AL22" s="218">
        <f t="shared" si="4"/>
        <v>0</v>
      </c>
      <c r="AM22" s="218">
        <f>SUM(AM23:AM28)</f>
        <v>1.38</v>
      </c>
      <c r="AN22" s="218">
        <f aca="true" t="shared" si="5" ref="AN22:AS22">SUM(AN23:AN28)</f>
        <v>0</v>
      </c>
      <c r="AO22" s="218">
        <f t="shared" si="5"/>
        <v>13.001000000000001</v>
      </c>
      <c r="AP22" s="218">
        <f t="shared" si="5"/>
        <v>0</v>
      </c>
      <c r="AQ22" s="218">
        <f t="shared" si="5"/>
        <v>5.946</v>
      </c>
      <c r="AR22" s="218">
        <f t="shared" si="5"/>
        <v>0</v>
      </c>
      <c r="AS22" s="218">
        <f t="shared" si="5"/>
        <v>0</v>
      </c>
      <c r="AT22" s="266"/>
    </row>
    <row r="23" spans="1:46" s="2" customFormat="1" ht="15.75">
      <c r="A23" s="207" t="s">
        <v>476</v>
      </c>
      <c r="B23" s="159" t="s">
        <v>477</v>
      </c>
      <c r="C23" s="173" t="s">
        <v>261</v>
      </c>
      <c r="D23" s="141">
        <v>0</v>
      </c>
      <c r="E23" s="141">
        <v>0</v>
      </c>
      <c r="F23" s="141">
        <f>F51</f>
        <v>1.926</v>
      </c>
      <c r="G23" s="141">
        <v>0</v>
      </c>
      <c r="H23" s="141">
        <f>H51</f>
        <v>3.702</v>
      </c>
      <c r="I23" s="141">
        <v>0</v>
      </c>
      <c r="J23" s="141">
        <v>0</v>
      </c>
      <c r="K23" s="141">
        <v>0</v>
      </c>
      <c r="L23" s="141">
        <v>0</v>
      </c>
      <c r="M23" s="141">
        <f>M51</f>
        <v>1.926</v>
      </c>
      <c r="N23" s="141">
        <v>0</v>
      </c>
      <c r="O23" s="141">
        <f>O51</f>
        <v>3.702</v>
      </c>
      <c r="P23" s="141">
        <v>0</v>
      </c>
      <c r="Q23" s="141">
        <v>0</v>
      </c>
      <c r="R23" s="141">
        <v>0</v>
      </c>
      <c r="S23" s="141">
        <v>0</v>
      </c>
      <c r="T23" s="141">
        <f>T51</f>
        <v>1.926</v>
      </c>
      <c r="U23" s="141">
        <v>0</v>
      </c>
      <c r="V23" s="141">
        <f>V51</f>
        <v>3.702</v>
      </c>
      <c r="W23" s="141">
        <v>0</v>
      </c>
      <c r="X23" s="141">
        <v>0</v>
      </c>
      <c r="Y23" s="141">
        <v>0</v>
      </c>
      <c r="Z23" s="141">
        <v>0</v>
      </c>
      <c r="AA23" s="141">
        <f>AA51</f>
        <v>1.926</v>
      </c>
      <c r="AB23" s="141">
        <v>0</v>
      </c>
      <c r="AC23" s="141">
        <f>AC51</f>
        <v>3.702</v>
      </c>
      <c r="AD23" s="141">
        <v>0</v>
      </c>
      <c r="AE23" s="141">
        <v>0</v>
      </c>
      <c r="AF23" s="141">
        <v>0</v>
      </c>
      <c r="AG23" s="141">
        <v>0</v>
      </c>
      <c r="AH23" s="141">
        <f>AH51</f>
        <v>1.926</v>
      </c>
      <c r="AI23" s="141">
        <v>0</v>
      </c>
      <c r="AJ23" s="141">
        <f>AJ51</f>
        <v>3.702</v>
      </c>
      <c r="AK23" s="141">
        <v>0</v>
      </c>
      <c r="AL23" s="141">
        <v>0</v>
      </c>
      <c r="AM23" s="141">
        <v>0</v>
      </c>
      <c r="AN23" s="141">
        <v>0</v>
      </c>
      <c r="AO23" s="141">
        <f>AO51</f>
        <v>1.926</v>
      </c>
      <c r="AP23" s="141">
        <v>0</v>
      </c>
      <c r="AQ23" s="141">
        <f>AQ51</f>
        <v>3.702</v>
      </c>
      <c r="AR23" s="141">
        <v>0</v>
      </c>
      <c r="AS23" s="141">
        <v>0</v>
      </c>
      <c r="AT23" s="263"/>
    </row>
    <row r="24" spans="1:46" s="2" customFormat="1" ht="31.5">
      <c r="A24" s="207" t="s">
        <v>478</v>
      </c>
      <c r="B24" s="159" t="s">
        <v>479</v>
      </c>
      <c r="C24" s="173" t="s">
        <v>261</v>
      </c>
      <c r="D24" s="141">
        <f>D29</f>
        <v>0</v>
      </c>
      <c r="E24" s="141">
        <f aca="true" t="shared" si="6" ref="E24:J24">E29</f>
        <v>0</v>
      </c>
      <c r="F24" s="141">
        <f t="shared" si="6"/>
        <v>11.075000000000001</v>
      </c>
      <c r="G24" s="141">
        <f t="shared" si="6"/>
        <v>0</v>
      </c>
      <c r="H24" s="141">
        <f t="shared" si="6"/>
        <v>0</v>
      </c>
      <c r="I24" s="141">
        <f t="shared" si="6"/>
        <v>0</v>
      </c>
      <c r="J24" s="141">
        <f t="shared" si="6"/>
        <v>0</v>
      </c>
      <c r="K24" s="141">
        <f>K29</f>
        <v>0</v>
      </c>
      <c r="L24" s="141">
        <f aca="true" t="shared" si="7" ref="L24:Q24">L29</f>
        <v>0</v>
      </c>
      <c r="M24" s="141">
        <f t="shared" si="7"/>
        <v>11.075000000000001</v>
      </c>
      <c r="N24" s="141">
        <f t="shared" si="7"/>
        <v>0</v>
      </c>
      <c r="O24" s="141">
        <f t="shared" si="7"/>
        <v>0</v>
      </c>
      <c r="P24" s="141">
        <f t="shared" si="7"/>
        <v>0</v>
      </c>
      <c r="Q24" s="141">
        <f t="shared" si="7"/>
        <v>0</v>
      </c>
      <c r="R24" s="141">
        <f>R29</f>
        <v>0</v>
      </c>
      <c r="S24" s="141">
        <f aca="true" t="shared" si="8" ref="S24:X24">S29</f>
        <v>0</v>
      </c>
      <c r="T24" s="141">
        <f t="shared" si="8"/>
        <v>11.075000000000001</v>
      </c>
      <c r="U24" s="141">
        <f t="shared" si="8"/>
        <v>0</v>
      </c>
      <c r="V24" s="141">
        <f t="shared" si="8"/>
        <v>0</v>
      </c>
      <c r="W24" s="141">
        <f t="shared" si="8"/>
        <v>0</v>
      </c>
      <c r="X24" s="141">
        <f t="shared" si="8"/>
        <v>0</v>
      </c>
      <c r="Y24" s="141">
        <f>Y29</f>
        <v>0</v>
      </c>
      <c r="Z24" s="141">
        <f aca="true" t="shared" si="9" ref="Z24:AE24">Z29</f>
        <v>0</v>
      </c>
      <c r="AA24" s="141">
        <f t="shared" si="9"/>
        <v>11.075000000000001</v>
      </c>
      <c r="AB24" s="141">
        <f t="shared" si="9"/>
        <v>0</v>
      </c>
      <c r="AC24" s="141">
        <f t="shared" si="9"/>
        <v>0</v>
      </c>
      <c r="AD24" s="141">
        <f t="shared" si="9"/>
        <v>0</v>
      </c>
      <c r="AE24" s="141">
        <f t="shared" si="9"/>
        <v>0</v>
      </c>
      <c r="AF24" s="141">
        <f>AF29</f>
        <v>0</v>
      </c>
      <c r="AG24" s="141">
        <f aca="true" t="shared" si="10" ref="AG24:AL24">AG29</f>
        <v>0</v>
      </c>
      <c r="AH24" s="141">
        <f t="shared" si="10"/>
        <v>11.075000000000001</v>
      </c>
      <c r="AI24" s="141">
        <f t="shared" si="10"/>
        <v>0</v>
      </c>
      <c r="AJ24" s="141">
        <f t="shared" si="10"/>
        <v>0</v>
      </c>
      <c r="AK24" s="141">
        <f t="shared" si="10"/>
        <v>0</v>
      </c>
      <c r="AL24" s="141">
        <f t="shared" si="10"/>
        <v>0</v>
      </c>
      <c r="AM24" s="141">
        <f>AM29</f>
        <v>0</v>
      </c>
      <c r="AN24" s="141">
        <f aca="true" t="shared" si="11" ref="AN24:AS24">AN29</f>
        <v>0</v>
      </c>
      <c r="AO24" s="141">
        <f t="shared" si="11"/>
        <v>11.075000000000001</v>
      </c>
      <c r="AP24" s="141">
        <f t="shared" si="11"/>
        <v>0</v>
      </c>
      <c r="AQ24" s="141">
        <f t="shared" si="11"/>
        <v>0</v>
      </c>
      <c r="AR24" s="141">
        <f t="shared" si="11"/>
        <v>0</v>
      </c>
      <c r="AS24" s="141">
        <f t="shared" si="11"/>
        <v>0</v>
      </c>
      <c r="AT24" s="263"/>
    </row>
    <row r="25" spans="1:46" s="2" customFormat="1" ht="47.25">
      <c r="A25" s="207" t="s">
        <v>480</v>
      </c>
      <c r="B25" s="159" t="s">
        <v>481</v>
      </c>
      <c r="C25" s="173" t="s">
        <v>261</v>
      </c>
      <c r="D25" s="141">
        <v>0</v>
      </c>
      <c r="E25" s="141">
        <v>0</v>
      </c>
      <c r="F25" s="141">
        <v>0</v>
      </c>
      <c r="G25" s="141">
        <v>0</v>
      </c>
      <c r="H25" s="141">
        <v>0</v>
      </c>
      <c r="I25" s="141">
        <v>0</v>
      </c>
      <c r="J25" s="141">
        <v>0</v>
      </c>
      <c r="K25" s="141">
        <v>0</v>
      </c>
      <c r="L25" s="141">
        <v>0</v>
      </c>
      <c r="M25" s="141">
        <v>0</v>
      </c>
      <c r="N25" s="141">
        <v>0</v>
      </c>
      <c r="O25" s="141">
        <v>0</v>
      </c>
      <c r="P25" s="141">
        <v>0</v>
      </c>
      <c r="Q25" s="141">
        <v>0</v>
      </c>
      <c r="R25" s="141">
        <v>0</v>
      </c>
      <c r="S25" s="141">
        <v>0</v>
      </c>
      <c r="T25" s="141">
        <v>0</v>
      </c>
      <c r="U25" s="141">
        <v>0</v>
      </c>
      <c r="V25" s="141">
        <v>0</v>
      </c>
      <c r="W25" s="141">
        <v>0</v>
      </c>
      <c r="X25" s="141">
        <v>0</v>
      </c>
      <c r="Y25" s="141">
        <v>0</v>
      </c>
      <c r="Z25" s="141">
        <v>0</v>
      </c>
      <c r="AA25" s="141">
        <v>0</v>
      </c>
      <c r="AB25" s="141">
        <v>0</v>
      </c>
      <c r="AC25" s="141">
        <v>0</v>
      </c>
      <c r="AD25" s="141">
        <v>0</v>
      </c>
      <c r="AE25" s="141">
        <v>0</v>
      </c>
      <c r="AF25" s="141">
        <v>0</v>
      </c>
      <c r="AG25" s="141">
        <v>0</v>
      </c>
      <c r="AH25" s="141">
        <v>0</v>
      </c>
      <c r="AI25" s="141">
        <v>0</v>
      </c>
      <c r="AJ25" s="141">
        <v>0</v>
      </c>
      <c r="AK25" s="141">
        <v>0</v>
      </c>
      <c r="AL25" s="141">
        <v>0</v>
      </c>
      <c r="AM25" s="141">
        <v>0</v>
      </c>
      <c r="AN25" s="141">
        <v>0</v>
      </c>
      <c r="AO25" s="141">
        <v>0</v>
      </c>
      <c r="AP25" s="141">
        <v>0</v>
      </c>
      <c r="AQ25" s="141">
        <v>0</v>
      </c>
      <c r="AR25" s="141">
        <v>0</v>
      </c>
      <c r="AS25" s="141">
        <v>0</v>
      </c>
      <c r="AT25" s="263"/>
    </row>
    <row r="26" spans="1:46" s="2" customFormat="1" ht="31.5">
      <c r="A26" s="207" t="s">
        <v>482</v>
      </c>
      <c r="B26" s="159" t="s">
        <v>483</v>
      </c>
      <c r="C26" s="173" t="s">
        <v>261</v>
      </c>
      <c r="D26" s="141">
        <f>D48</f>
        <v>1.38</v>
      </c>
      <c r="E26" s="141">
        <f aca="true" t="shared" si="12" ref="E26:AS26">E48</f>
        <v>0</v>
      </c>
      <c r="F26" s="141">
        <f>F49</f>
        <v>0</v>
      </c>
      <c r="G26" s="141">
        <f t="shared" si="12"/>
        <v>0</v>
      </c>
      <c r="H26" s="141">
        <f>H49</f>
        <v>2.244</v>
      </c>
      <c r="I26" s="141">
        <f t="shared" si="12"/>
        <v>0</v>
      </c>
      <c r="J26" s="141">
        <f t="shared" si="12"/>
        <v>0</v>
      </c>
      <c r="K26" s="141">
        <f t="shared" si="12"/>
        <v>1.38</v>
      </c>
      <c r="L26" s="141">
        <f t="shared" si="12"/>
        <v>0</v>
      </c>
      <c r="M26" s="141">
        <f>M49</f>
        <v>0</v>
      </c>
      <c r="N26" s="141">
        <f t="shared" si="12"/>
        <v>0</v>
      </c>
      <c r="O26" s="141">
        <f>O49</f>
        <v>2.244</v>
      </c>
      <c r="P26" s="141">
        <f t="shared" si="12"/>
        <v>0</v>
      </c>
      <c r="Q26" s="141">
        <f t="shared" si="12"/>
        <v>0</v>
      </c>
      <c r="R26" s="141">
        <f t="shared" si="12"/>
        <v>1.38</v>
      </c>
      <c r="S26" s="141">
        <f t="shared" si="12"/>
        <v>0</v>
      </c>
      <c r="T26" s="141">
        <f>T49</f>
        <v>0</v>
      </c>
      <c r="U26" s="141">
        <f t="shared" si="12"/>
        <v>0</v>
      </c>
      <c r="V26" s="141">
        <f>V49</f>
        <v>2.244</v>
      </c>
      <c r="W26" s="141">
        <f t="shared" si="12"/>
        <v>0</v>
      </c>
      <c r="X26" s="141">
        <f t="shared" si="12"/>
        <v>0</v>
      </c>
      <c r="Y26" s="141">
        <f t="shared" si="12"/>
        <v>1.38</v>
      </c>
      <c r="Z26" s="141">
        <f t="shared" si="12"/>
        <v>0</v>
      </c>
      <c r="AA26" s="141">
        <f>AA49</f>
        <v>0</v>
      </c>
      <c r="AB26" s="141">
        <f t="shared" si="12"/>
        <v>0</v>
      </c>
      <c r="AC26" s="141">
        <f>AC49</f>
        <v>2.244</v>
      </c>
      <c r="AD26" s="141">
        <f t="shared" si="12"/>
        <v>0</v>
      </c>
      <c r="AE26" s="141">
        <f t="shared" si="12"/>
        <v>0</v>
      </c>
      <c r="AF26" s="141">
        <f t="shared" si="12"/>
        <v>1.38</v>
      </c>
      <c r="AG26" s="141">
        <f t="shared" si="12"/>
        <v>0</v>
      </c>
      <c r="AH26" s="141">
        <f>AH49</f>
        <v>0</v>
      </c>
      <c r="AI26" s="141">
        <f t="shared" si="12"/>
        <v>0</v>
      </c>
      <c r="AJ26" s="141">
        <f>AJ49</f>
        <v>2.244</v>
      </c>
      <c r="AK26" s="141">
        <f t="shared" si="12"/>
        <v>0</v>
      </c>
      <c r="AL26" s="141">
        <f t="shared" si="12"/>
        <v>0</v>
      </c>
      <c r="AM26" s="141">
        <f t="shared" si="12"/>
        <v>1.38</v>
      </c>
      <c r="AN26" s="141">
        <f t="shared" si="12"/>
        <v>0</v>
      </c>
      <c r="AO26" s="141">
        <f>AO49</f>
        <v>0</v>
      </c>
      <c r="AP26" s="141">
        <f t="shared" si="12"/>
        <v>0</v>
      </c>
      <c r="AQ26" s="141">
        <f>AQ49</f>
        <v>2.244</v>
      </c>
      <c r="AR26" s="141">
        <f t="shared" si="12"/>
        <v>0</v>
      </c>
      <c r="AS26" s="141">
        <f t="shared" si="12"/>
        <v>0</v>
      </c>
      <c r="AT26" s="263"/>
    </row>
    <row r="27" spans="1:46" s="2" customFormat="1" ht="31.5">
      <c r="A27" s="207" t="s">
        <v>484</v>
      </c>
      <c r="B27" s="160" t="s">
        <v>485</v>
      </c>
      <c r="C27" s="173" t="s">
        <v>261</v>
      </c>
      <c r="D27" s="141">
        <v>0</v>
      </c>
      <c r="E27" s="141">
        <v>0</v>
      </c>
      <c r="F27" s="141">
        <v>0</v>
      </c>
      <c r="G27" s="141">
        <v>0</v>
      </c>
      <c r="H27" s="141">
        <v>0</v>
      </c>
      <c r="I27" s="141">
        <v>0</v>
      </c>
      <c r="J27" s="141">
        <v>0</v>
      </c>
      <c r="K27" s="141">
        <v>0</v>
      </c>
      <c r="L27" s="141">
        <v>0</v>
      </c>
      <c r="M27" s="141">
        <v>0</v>
      </c>
      <c r="N27" s="141">
        <v>0</v>
      </c>
      <c r="O27" s="141">
        <v>0</v>
      </c>
      <c r="P27" s="141">
        <v>0</v>
      </c>
      <c r="Q27" s="141">
        <v>0</v>
      </c>
      <c r="R27" s="141">
        <v>0</v>
      </c>
      <c r="S27" s="141">
        <v>0</v>
      </c>
      <c r="T27" s="141">
        <v>0</v>
      </c>
      <c r="U27" s="141">
        <v>0</v>
      </c>
      <c r="V27" s="141">
        <v>0</v>
      </c>
      <c r="W27" s="141">
        <v>0</v>
      </c>
      <c r="X27" s="141">
        <v>0</v>
      </c>
      <c r="Y27" s="141">
        <v>0</v>
      </c>
      <c r="Z27" s="141">
        <v>0</v>
      </c>
      <c r="AA27" s="141">
        <v>0</v>
      </c>
      <c r="AB27" s="141">
        <v>0</v>
      </c>
      <c r="AC27" s="141">
        <v>0</v>
      </c>
      <c r="AD27" s="141">
        <v>0</v>
      </c>
      <c r="AE27" s="141">
        <v>0</v>
      </c>
      <c r="AF27" s="141">
        <v>0</v>
      </c>
      <c r="AG27" s="141">
        <v>0</v>
      </c>
      <c r="AH27" s="141">
        <v>0</v>
      </c>
      <c r="AI27" s="141">
        <v>0</v>
      </c>
      <c r="AJ27" s="141">
        <v>0</v>
      </c>
      <c r="AK27" s="141">
        <v>0</v>
      </c>
      <c r="AL27" s="141">
        <v>0</v>
      </c>
      <c r="AM27" s="141">
        <v>0</v>
      </c>
      <c r="AN27" s="141">
        <v>0</v>
      </c>
      <c r="AO27" s="141">
        <v>0</v>
      </c>
      <c r="AP27" s="141">
        <v>0</v>
      </c>
      <c r="AQ27" s="141">
        <v>0</v>
      </c>
      <c r="AR27" s="141">
        <v>0</v>
      </c>
      <c r="AS27" s="141">
        <v>0</v>
      </c>
      <c r="AT27" s="263"/>
    </row>
    <row r="28" spans="1:46" s="2" customFormat="1" ht="15.75">
      <c r="A28" s="207" t="s">
        <v>486</v>
      </c>
      <c r="B28" s="160" t="s">
        <v>487</v>
      </c>
      <c r="C28" s="173" t="s">
        <v>261</v>
      </c>
      <c r="D28" s="141">
        <f>D44</f>
        <v>0</v>
      </c>
      <c r="E28" s="141">
        <f aca="true" t="shared" si="13" ref="E28:J28">E44</f>
        <v>0</v>
      </c>
      <c r="F28" s="141">
        <f t="shared" si="13"/>
        <v>0</v>
      </c>
      <c r="G28" s="141">
        <f t="shared" si="13"/>
        <v>0</v>
      </c>
      <c r="H28" s="141">
        <f t="shared" si="13"/>
        <v>0</v>
      </c>
      <c r="I28" s="141">
        <f t="shared" si="13"/>
        <v>0</v>
      </c>
      <c r="J28" s="141">
        <f t="shared" si="13"/>
        <v>0</v>
      </c>
      <c r="K28" s="141">
        <f>K44</f>
        <v>0</v>
      </c>
      <c r="L28" s="141">
        <f aca="true" t="shared" si="14" ref="L28:Q28">L44</f>
        <v>0</v>
      </c>
      <c r="M28" s="141">
        <f t="shared" si="14"/>
        <v>0</v>
      </c>
      <c r="N28" s="141">
        <f t="shared" si="14"/>
        <v>0</v>
      </c>
      <c r="O28" s="141">
        <f t="shared" si="14"/>
        <v>0</v>
      </c>
      <c r="P28" s="141">
        <f t="shared" si="14"/>
        <v>0</v>
      </c>
      <c r="Q28" s="141">
        <f t="shared" si="14"/>
        <v>0</v>
      </c>
      <c r="R28" s="141">
        <f>R44</f>
        <v>0</v>
      </c>
      <c r="S28" s="141">
        <f aca="true" t="shared" si="15" ref="S28:X28">S44</f>
        <v>0</v>
      </c>
      <c r="T28" s="141">
        <f t="shared" si="15"/>
        <v>0</v>
      </c>
      <c r="U28" s="141">
        <f t="shared" si="15"/>
        <v>0</v>
      </c>
      <c r="V28" s="141">
        <f t="shared" si="15"/>
        <v>0</v>
      </c>
      <c r="W28" s="141">
        <f t="shared" si="15"/>
        <v>0</v>
      </c>
      <c r="X28" s="141">
        <f t="shared" si="15"/>
        <v>0</v>
      </c>
      <c r="Y28" s="141">
        <f>Y44</f>
        <v>0</v>
      </c>
      <c r="Z28" s="141">
        <f aca="true" t="shared" si="16" ref="Z28:AE28">Z44</f>
        <v>0</v>
      </c>
      <c r="AA28" s="141">
        <f t="shared" si="16"/>
        <v>0</v>
      </c>
      <c r="AB28" s="141">
        <f t="shared" si="16"/>
        <v>0</v>
      </c>
      <c r="AC28" s="141">
        <f t="shared" si="16"/>
        <v>0</v>
      </c>
      <c r="AD28" s="141">
        <f t="shared" si="16"/>
        <v>0</v>
      </c>
      <c r="AE28" s="141">
        <f t="shared" si="16"/>
        <v>0</v>
      </c>
      <c r="AF28" s="141">
        <f>AF44</f>
        <v>0</v>
      </c>
      <c r="AG28" s="141">
        <f aca="true" t="shared" si="17" ref="AG28:AL28">AG44</f>
        <v>0</v>
      </c>
      <c r="AH28" s="141">
        <f t="shared" si="17"/>
        <v>0</v>
      </c>
      <c r="AI28" s="141">
        <f t="shared" si="17"/>
        <v>0</v>
      </c>
      <c r="AJ28" s="141">
        <f t="shared" si="17"/>
        <v>0</v>
      </c>
      <c r="AK28" s="141">
        <f t="shared" si="17"/>
        <v>0</v>
      </c>
      <c r="AL28" s="141">
        <f t="shared" si="17"/>
        <v>0</v>
      </c>
      <c r="AM28" s="141">
        <f>AM44</f>
        <v>0</v>
      </c>
      <c r="AN28" s="141">
        <f aca="true" t="shared" si="18" ref="AN28:AS28">AN44</f>
        <v>0</v>
      </c>
      <c r="AO28" s="141">
        <f t="shared" si="18"/>
        <v>0</v>
      </c>
      <c r="AP28" s="141">
        <f t="shared" si="18"/>
        <v>0</v>
      </c>
      <c r="AQ28" s="141">
        <f t="shared" si="18"/>
        <v>0</v>
      </c>
      <c r="AR28" s="141">
        <f t="shared" si="18"/>
        <v>0</v>
      </c>
      <c r="AS28" s="141">
        <f t="shared" si="18"/>
        <v>0</v>
      </c>
      <c r="AT28" s="263"/>
    </row>
    <row r="29" spans="1:46" s="2" customFormat="1" ht="31.5">
      <c r="A29" s="325">
        <v>1</v>
      </c>
      <c r="B29" s="161" t="s">
        <v>260</v>
      </c>
      <c r="C29" s="173" t="s">
        <v>261</v>
      </c>
      <c r="D29" s="141">
        <f aca="true" t="shared" si="19" ref="D29:AS29">D30</f>
        <v>0</v>
      </c>
      <c r="E29" s="141">
        <f t="shared" si="19"/>
        <v>0</v>
      </c>
      <c r="F29" s="141">
        <f t="shared" si="19"/>
        <v>11.075000000000001</v>
      </c>
      <c r="G29" s="141">
        <f t="shared" si="19"/>
        <v>0</v>
      </c>
      <c r="H29" s="141">
        <f t="shared" si="19"/>
        <v>0</v>
      </c>
      <c r="I29" s="141">
        <f t="shared" si="19"/>
        <v>0</v>
      </c>
      <c r="J29" s="141">
        <f t="shared" si="19"/>
        <v>0</v>
      </c>
      <c r="K29" s="141">
        <f t="shared" si="19"/>
        <v>0</v>
      </c>
      <c r="L29" s="141">
        <f t="shared" si="19"/>
        <v>0</v>
      </c>
      <c r="M29" s="141">
        <f t="shared" si="19"/>
        <v>11.075000000000001</v>
      </c>
      <c r="N29" s="141">
        <f t="shared" si="19"/>
        <v>0</v>
      </c>
      <c r="O29" s="141">
        <f t="shared" si="19"/>
        <v>0</v>
      </c>
      <c r="P29" s="141">
        <f t="shared" si="19"/>
        <v>0</v>
      </c>
      <c r="Q29" s="141">
        <f t="shared" si="19"/>
        <v>0</v>
      </c>
      <c r="R29" s="141">
        <f t="shared" si="19"/>
        <v>0</v>
      </c>
      <c r="S29" s="141">
        <f t="shared" si="19"/>
        <v>0</v>
      </c>
      <c r="T29" s="141">
        <f t="shared" si="19"/>
        <v>11.075000000000001</v>
      </c>
      <c r="U29" s="141">
        <f t="shared" si="19"/>
        <v>0</v>
      </c>
      <c r="V29" s="141">
        <f t="shared" si="19"/>
        <v>0</v>
      </c>
      <c r="W29" s="141">
        <f t="shared" si="19"/>
        <v>0</v>
      </c>
      <c r="X29" s="141">
        <f t="shared" si="19"/>
        <v>0</v>
      </c>
      <c r="Y29" s="141">
        <f t="shared" si="19"/>
        <v>0</v>
      </c>
      <c r="Z29" s="141">
        <f t="shared" si="19"/>
        <v>0</v>
      </c>
      <c r="AA29" s="141">
        <f t="shared" si="19"/>
        <v>11.075000000000001</v>
      </c>
      <c r="AB29" s="141">
        <f t="shared" si="19"/>
        <v>0</v>
      </c>
      <c r="AC29" s="141">
        <f t="shared" si="19"/>
        <v>0</v>
      </c>
      <c r="AD29" s="141">
        <f t="shared" si="19"/>
        <v>0</v>
      </c>
      <c r="AE29" s="141">
        <f t="shared" si="19"/>
        <v>0</v>
      </c>
      <c r="AF29" s="141">
        <f t="shared" si="19"/>
        <v>0</v>
      </c>
      <c r="AG29" s="141">
        <f t="shared" si="19"/>
        <v>0</v>
      </c>
      <c r="AH29" s="141">
        <f t="shared" si="19"/>
        <v>11.075000000000001</v>
      </c>
      <c r="AI29" s="141">
        <f t="shared" si="19"/>
        <v>0</v>
      </c>
      <c r="AJ29" s="141">
        <f t="shared" si="19"/>
        <v>0</v>
      </c>
      <c r="AK29" s="141">
        <f t="shared" si="19"/>
        <v>0</v>
      </c>
      <c r="AL29" s="141">
        <f t="shared" si="19"/>
        <v>0</v>
      </c>
      <c r="AM29" s="141">
        <f t="shared" si="19"/>
        <v>0</v>
      </c>
      <c r="AN29" s="141">
        <f t="shared" si="19"/>
        <v>0</v>
      </c>
      <c r="AO29" s="141">
        <f t="shared" si="19"/>
        <v>11.075000000000001</v>
      </c>
      <c r="AP29" s="141">
        <f t="shared" si="19"/>
        <v>0</v>
      </c>
      <c r="AQ29" s="141">
        <f t="shared" si="19"/>
        <v>0</v>
      </c>
      <c r="AR29" s="141">
        <f t="shared" si="19"/>
        <v>0</v>
      </c>
      <c r="AS29" s="141">
        <f t="shared" si="19"/>
        <v>0</v>
      </c>
      <c r="AT29" s="263"/>
    </row>
    <row r="30" spans="1:46" s="2" customFormat="1" ht="31.5">
      <c r="A30" s="207" t="s">
        <v>285</v>
      </c>
      <c r="B30" s="161" t="s">
        <v>263</v>
      </c>
      <c r="C30" s="173" t="s">
        <v>261</v>
      </c>
      <c r="D30" s="141">
        <f aca="true" t="shared" si="20" ref="D30:AS30">SUM(D31:D40)</f>
        <v>0</v>
      </c>
      <c r="E30" s="141">
        <f t="shared" si="20"/>
        <v>0</v>
      </c>
      <c r="F30" s="141">
        <f t="shared" si="20"/>
        <v>11.075000000000001</v>
      </c>
      <c r="G30" s="141">
        <f t="shared" si="20"/>
        <v>0</v>
      </c>
      <c r="H30" s="141">
        <f t="shared" si="20"/>
        <v>0</v>
      </c>
      <c r="I30" s="141">
        <f t="shared" si="20"/>
        <v>0</v>
      </c>
      <c r="J30" s="141">
        <f t="shared" si="20"/>
        <v>0</v>
      </c>
      <c r="K30" s="141">
        <f t="shared" si="20"/>
        <v>0</v>
      </c>
      <c r="L30" s="141">
        <f t="shared" si="20"/>
        <v>0</v>
      </c>
      <c r="M30" s="141">
        <f t="shared" si="20"/>
        <v>11.075000000000001</v>
      </c>
      <c r="N30" s="141">
        <f t="shared" si="20"/>
        <v>0</v>
      </c>
      <c r="O30" s="141">
        <f t="shared" si="20"/>
        <v>0</v>
      </c>
      <c r="P30" s="141">
        <f t="shared" si="20"/>
        <v>0</v>
      </c>
      <c r="Q30" s="141">
        <f t="shared" si="20"/>
        <v>0</v>
      </c>
      <c r="R30" s="141">
        <f t="shared" si="20"/>
        <v>0</v>
      </c>
      <c r="S30" s="141">
        <f t="shared" si="20"/>
        <v>0</v>
      </c>
      <c r="T30" s="141">
        <f t="shared" si="20"/>
        <v>11.075000000000001</v>
      </c>
      <c r="U30" s="141">
        <f t="shared" si="20"/>
        <v>0</v>
      </c>
      <c r="V30" s="141">
        <f t="shared" si="20"/>
        <v>0</v>
      </c>
      <c r="W30" s="141">
        <f t="shared" si="20"/>
        <v>0</v>
      </c>
      <c r="X30" s="141">
        <f t="shared" si="20"/>
        <v>0</v>
      </c>
      <c r="Y30" s="141">
        <f t="shared" si="20"/>
        <v>0</v>
      </c>
      <c r="Z30" s="141">
        <f t="shared" si="20"/>
        <v>0</v>
      </c>
      <c r="AA30" s="141">
        <f t="shared" si="20"/>
        <v>11.075000000000001</v>
      </c>
      <c r="AB30" s="141">
        <f t="shared" si="20"/>
        <v>0</v>
      </c>
      <c r="AC30" s="141">
        <f t="shared" si="20"/>
        <v>0</v>
      </c>
      <c r="AD30" s="141">
        <f t="shared" si="20"/>
        <v>0</v>
      </c>
      <c r="AE30" s="141">
        <f t="shared" si="20"/>
        <v>0</v>
      </c>
      <c r="AF30" s="141">
        <f t="shared" si="20"/>
        <v>0</v>
      </c>
      <c r="AG30" s="141">
        <f t="shared" si="20"/>
        <v>0</v>
      </c>
      <c r="AH30" s="141">
        <f t="shared" si="20"/>
        <v>11.075000000000001</v>
      </c>
      <c r="AI30" s="141">
        <f t="shared" si="20"/>
        <v>0</v>
      </c>
      <c r="AJ30" s="141">
        <f t="shared" si="20"/>
        <v>0</v>
      </c>
      <c r="AK30" s="141">
        <f t="shared" si="20"/>
        <v>0</v>
      </c>
      <c r="AL30" s="141">
        <f t="shared" si="20"/>
        <v>0</v>
      </c>
      <c r="AM30" s="141">
        <f t="shared" si="20"/>
        <v>0</v>
      </c>
      <c r="AN30" s="141">
        <f t="shared" si="20"/>
        <v>0</v>
      </c>
      <c r="AO30" s="141">
        <f t="shared" si="20"/>
        <v>11.075000000000001</v>
      </c>
      <c r="AP30" s="141">
        <f t="shared" si="20"/>
        <v>0</v>
      </c>
      <c r="AQ30" s="141">
        <f t="shared" si="20"/>
        <v>0</v>
      </c>
      <c r="AR30" s="141">
        <f t="shared" si="20"/>
        <v>0</v>
      </c>
      <c r="AS30" s="141">
        <f t="shared" si="20"/>
        <v>0</v>
      </c>
      <c r="AT30" s="263"/>
    </row>
    <row r="31" spans="1:46" s="2" customFormat="1" ht="47.25">
      <c r="A31" s="238" t="str">
        <f>1!A33</f>
        <v>1.1</v>
      </c>
      <c r="B31" s="170" t="str">
        <f>1!B33</f>
        <v>Реконструкция ВЛ-0,4 кВ ул.Шоссейная, п.Иноземцево, (и/н 0000467), СИП-2 3х50+1х54,6 - 0,418 км, СИП-2 3х35+1х54,6 - 0,366 км и СИП-4 2х16 - 0,575 км</v>
      </c>
      <c r="C31" s="92" t="str">
        <f>1!C33</f>
        <v>G_Gelezno_001</v>
      </c>
      <c r="D31" s="127"/>
      <c r="E31" s="127"/>
      <c r="F31" s="127">
        <f>4!J35</f>
        <v>0.784</v>
      </c>
      <c r="G31" s="127"/>
      <c r="H31" s="127"/>
      <c r="I31" s="127"/>
      <c r="J31" s="127"/>
      <c r="K31" s="127"/>
      <c r="L31" s="127"/>
      <c r="M31" s="491">
        <f>4!Q35</f>
        <v>0.784</v>
      </c>
      <c r="N31" s="127"/>
      <c r="O31" s="127"/>
      <c r="P31" s="127"/>
      <c r="Q31" s="127"/>
      <c r="R31" s="127"/>
      <c r="S31" s="127"/>
      <c r="T31" s="127">
        <f>F31</f>
        <v>0.784</v>
      </c>
      <c r="U31" s="127"/>
      <c r="V31" s="127"/>
      <c r="W31" s="127"/>
      <c r="X31" s="127"/>
      <c r="Y31" s="127"/>
      <c r="Z31" s="127"/>
      <c r="AA31" s="491">
        <f>M31</f>
        <v>0.784</v>
      </c>
      <c r="AB31" s="127"/>
      <c r="AC31" s="127"/>
      <c r="AD31" s="127"/>
      <c r="AE31" s="127"/>
      <c r="AF31" s="127"/>
      <c r="AG31" s="127"/>
      <c r="AH31" s="127">
        <f>T31</f>
        <v>0.784</v>
      </c>
      <c r="AI31" s="127"/>
      <c r="AJ31" s="127"/>
      <c r="AK31" s="127"/>
      <c r="AL31" s="127"/>
      <c r="AM31" s="127"/>
      <c r="AN31" s="127"/>
      <c r="AO31" s="491">
        <f aca="true" t="shared" si="21" ref="AO31:AO38">AA31</f>
        <v>0.784</v>
      </c>
      <c r="AP31" s="127"/>
      <c r="AQ31" s="127"/>
      <c r="AR31" s="127"/>
      <c r="AS31" s="127"/>
      <c r="AT31" s="409" t="str">
        <f>4!AV35</f>
        <v>Обеспечения качества электроснабжения населения</v>
      </c>
    </row>
    <row r="32" spans="1:46" s="2" customFormat="1" ht="31.5">
      <c r="A32" s="238" t="str">
        <f>1!A34</f>
        <v>1.1</v>
      </c>
      <c r="B32" s="170" t="str">
        <f>1!B34</f>
        <v>Реконструкция ВЛ-0,4 кВ ул.Р.Люксембург, г.Железноводск, (и/н 0000305), СИП-2 3х35+1х54,6 - 0,367 км и СИП-4 2х16 - 0,45 км</v>
      </c>
      <c r="C32" s="92" t="str">
        <f>1!C34</f>
        <v>G_Gelezno_002</v>
      </c>
      <c r="D32" s="127"/>
      <c r="E32" s="127"/>
      <c r="F32" s="127">
        <f>4!J36</f>
        <v>0.367</v>
      </c>
      <c r="G32" s="127"/>
      <c r="H32" s="127"/>
      <c r="I32" s="127"/>
      <c r="J32" s="127"/>
      <c r="K32" s="127"/>
      <c r="L32" s="127"/>
      <c r="M32" s="491">
        <f>4!Q36</f>
        <v>0.367</v>
      </c>
      <c r="N32" s="127"/>
      <c r="O32" s="127"/>
      <c r="P32" s="127"/>
      <c r="Q32" s="127"/>
      <c r="R32" s="127"/>
      <c r="S32" s="127"/>
      <c r="T32" s="127">
        <f aca="true" t="shared" si="22" ref="T32:T39">F32</f>
        <v>0.367</v>
      </c>
      <c r="U32" s="127"/>
      <c r="V32" s="127"/>
      <c r="W32" s="127"/>
      <c r="X32" s="127"/>
      <c r="Y32" s="127"/>
      <c r="Z32" s="127"/>
      <c r="AA32" s="491">
        <f aca="true" t="shared" si="23" ref="AA32:AA39">M32</f>
        <v>0.367</v>
      </c>
      <c r="AB32" s="127"/>
      <c r="AC32" s="127"/>
      <c r="AD32" s="127"/>
      <c r="AE32" s="127"/>
      <c r="AF32" s="127"/>
      <c r="AG32" s="127"/>
      <c r="AH32" s="127">
        <f aca="true" t="shared" si="24" ref="AH32:AH39">T32</f>
        <v>0.367</v>
      </c>
      <c r="AI32" s="127"/>
      <c r="AJ32" s="127"/>
      <c r="AK32" s="127"/>
      <c r="AL32" s="127"/>
      <c r="AM32" s="127"/>
      <c r="AN32" s="127"/>
      <c r="AO32" s="491">
        <f t="shared" si="21"/>
        <v>0.367</v>
      </c>
      <c r="AP32" s="127"/>
      <c r="AQ32" s="127"/>
      <c r="AR32" s="127"/>
      <c r="AS32" s="127"/>
      <c r="AT32" s="409" t="str">
        <f>4!AV36</f>
        <v>Обеспечения качества электроснабжения населения</v>
      </c>
    </row>
    <row r="33" spans="1:46" s="2" customFormat="1" ht="47.25">
      <c r="A33" s="238" t="str">
        <f>1!A35</f>
        <v>1.1</v>
      </c>
      <c r="B33" s="170" t="str">
        <f>1!B35</f>
        <v>Реконструкция ВЛ-0,4 кВ ул.Свободы, п.Иноземцево, (и/н 0000450 и 0000451), СИП-2 3х35+1х54,6 - 2,35 км и СИП-4 2х16 - 2,97 км</v>
      </c>
      <c r="C33" s="92" t="str">
        <f>1!C35</f>
        <v>G_Gelezno_003</v>
      </c>
      <c r="D33" s="127"/>
      <c r="E33" s="127"/>
      <c r="F33" s="127">
        <f>4!J37</f>
        <v>2.35</v>
      </c>
      <c r="G33" s="127"/>
      <c r="H33" s="127"/>
      <c r="I33" s="127"/>
      <c r="J33" s="127"/>
      <c r="K33" s="127"/>
      <c r="L33" s="127"/>
      <c r="M33" s="491">
        <f>4!Q37</f>
        <v>2.35</v>
      </c>
      <c r="N33" s="127"/>
      <c r="O33" s="127"/>
      <c r="P33" s="127"/>
      <c r="Q33" s="127"/>
      <c r="R33" s="127"/>
      <c r="S33" s="127"/>
      <c r="T33" s="127">
        <f t="shared" si="22"/>
        <v>2.35</v>
      </c>
      <c r="U33" s="127"/>
      <c r="V33" s="127"/>
      <c r="W33" s="127"/>
      <c r="X33" s="127"/>
      <c r="Y33" s="127"/>
      <c r="Z33" s="127"/>
      <c r="AA33" s="491">
        <f t="shared" si="23"/>
        <v>2.35</v>
      </c>
      <c r="AB33" s="127"/>
      <c r="AC33" s="127"/>
      <c r="AD33" s="127"/>
      <c r="AE33" s="127"/>
      <c r="AF33" s="127"/>
      <c r="AG33" s="127"/>
      <c r="AH33" s="127">
        <f t="shared" si="24"/>
        <v>2.35</v>
      </c>
      <c r="AI33" s="127"/>
      <c r="AJ33" s="127"/>
      <c r="AK33" s="127"/>
      <c r="AL33" s="127"/>
      <c r="AM33" s="127"/>
      <c r="AN33" s="127"/>
      <c r="AO33" s="491">
        <f t="shared" si="21"/>
        <v>2.35</v>
      </c>
      <c r="AP33" s="127"/>
      <c r="AQ33" s="127"/>
      <c r="AR33" s="127"/>
      <c r="AS33" s="127"/>
      <c r="AT33" s="409" t="str">
        <f>4!AV37</f>
        <v>Обеспечения качества электроснабжения населения</v>
      </c>
    </row>
    <row r="34" spans="1:46" s="2" customFormat="1" ht="47.25">
      <c r="A34" s="238" t="str">
        <f>1!A36</f>
        <v>1.1</v>
      </c>
      <c r="B34" s="170" t="str">
        <f>1!B36</f>
        <v>Реконструкция ВЛ-0,4 кВ ул.Свободы до озера (от ул.Шоссей-ной), п.Иноземцево, (и/н 0000453), СИП-2 3х35+1х54,6 - 2,26 км и СИП-4 2х16 - 2,17 км</v>
      </c>
      <c r="C34" s="92" t="str">
        <f>1!C36</f>
        <v>G_Gelezno_004</v>
      </c>
      <c r="D34" s="127"/>
      <c r="E34" s="127"/>
      <c r="F34" s="127">
        <f>4!J38</f>
        <v>2.26</v>
      </c>
      <c r="G34" s="127"/>
      <c r="H34" s="127"/>
      <c r="I34" s="127"/>
      <c r="J34" s="127"/>
      <c r="K34" s="127"/>
      <c r="L34" s="127"/>
      <c r="M34" s="491">
        <f>4!Q38</f>
        <v>2.26</v>
      </c>
      <c r="N34" s="127"/>
      <c r="O34" s="127"/>
      <c r="P34" s="127"/>
      <c r="Q34" s="127"/>
      <c r="R34" s="127"/>
      <c r="S34" s="127"/>
      <c r="T34" s="127">
        <f t="shared" si="22"/>
        <v>2.26</v>
      </c>
      <c r="U34" s="127"/>
      <c r="V34" s="127"/>
      <c r="W34" s="127"/>
      <c r="X34" s="127"/>
      <c r="Y34" s="127"/>
      <c r="Z34" s="127"/>
      <c r="AA34" s="491">
        <f t="shared" si="23"/>
        <v>2.26</v>
      </c>
      <c r="AB34" s="127"/>
      <c r="AC34" s="127"/>
      <c r="AD34" s="127"/>
      <c r="AE34" s="127"/>
      <c r="AF34" s="127"/>
      <c r="AG34" s="127"/>
      <c r="AH34" s="127">
        <f t="shared" si="24"/>
        <v>2.26</v>
      </c>
      <c r="AI34" s="127"/>
      <c r="AJ34" s="127"/>
      <c r="AK34" s="127"/>
      <c r="AL34" s="127"/>
      <c r="AM34" s="127"/>
      <c r="AN34" s="127"/>
      <c r="AO34" s="491">
        <f t="shared" si="21"/>
        <v>2.26</v>
      </c>
      <c r="AP34" s="127"/>
      <c r="AQ34" s="127"/>
      <c r="AR34" s="127"/>
      <c r="AS34" s="127"/>
      <c r="AT34" s="409" t="str">
        <f>4!AV38</f>
        <v>Обеспечения качества электроснабжения населения</v>
      </c>
    </row>
    <row r="35" spans="1:46" s="2" customFormat="1" ht="47.25">
      <c r="A35" s="238" t="str">
        <f>1!A37</f>
        <v>1.1</v>
      </c>
      <c r="B35" s="170" t="str">
        <f>1!B37</f>
        <v>Реконструкция ВЛ-0,4 кВ ул.60 лет Октября, п.Иноземцево, (и/н 0000329 и 0000330), СИП-2 3х35+1х54,6 - 0,836 км и СИП-4 2х16 - 2,2 км</v>
      </c>
      <c r="C35" s="92" t="str">
        <f>1!C37</f>
        <v>G_Gelezno_005</v>
      </c>
      <c r="D35" s="127"/>
      <c r="E35" s="127"/>
      <c r="F35" s="127">
        <f>4!J39</f>
        <v>0.836</v>
      </c>
      <c r="G35" s="127"/>
      <c r="H35" s="127"/>
      <c r="I35" s="127"/>
      <c r="J35" s="127"/>
      <c r="K35" s="127"/>
      <c r="L35" s="127"/>
      <c r="M35" s="491">
        <f>4!Q39</f>
        <v>0.836</v>
      </c>
      <c r="N35" s="127"/>
      <c r="O35" s="127"/>
      <c r="P35" s="127"/>
      <c r="Q35" s="127"/>
      <c r="R35" s="127"/>
      <c r="S35" s="127"/>
      <c r="T35" s="127">
        <f t="shared" si="22"/>
        <v>0.836</v>
      </c>
      <c r="U35" s="127"/>
      <c r="V35" s="127"/>
      <c r="W35" s="127"/>
      <c r="X35" s="127"/>
      <c r="Y35" s="127"/>
      <c r="Z35" s="127"/>
      <c r="AA35" s="491">
        <f t="shared" si="23"/>
        <v>0.836</v>
      </c>
      <c r="AB35" s="127"/>
      <c r="AC35" s="127"/>
      <c r="AD35" s="127"/>
      <c r="AE35" s="127"/>
      <c r="AF35" s="127"/>
      <c r="AG35" s="127"/>
      <c r="AH35" s="127">
        <f t="shared" si="24"/>
        <v>0.836</v>
      </c>
      <c r="AI35" s="127"/>
      <c r="AJ35" s="127"/>
      <c r="AK35" s="127"/>
      <c r="AL35" s="127"/>
      <c r="AM35" s="127"/>
      <c r="AN35" s="127"/>
      <c r="AO35" s="491">
        <f t="shared" si="21"/>
        <v>0.836</v>
      </c>
      <c r="AP35" s="127"/>
      <c r="AQ35" s="127"/>
      <c r="AR35" s="127"/>
      <c r="AS35" s="127"/>
      <c r="AT35" s="409" t="str">
        <f>4!AV39</f>
        <v>Обеспечения качества электроснабжения населения</v>
      </c>
    </row>
    <row r="36" spans="1:46" s="2" customFormat="1" ht="47.25">
      <c r="A36" s="238" t="str">
        <f>1!A38</f>
        <v>1.1</v>
      </c>
      <c r="B36" s="170" t="str">
        <f>1!B38</f>
        <v>Реконструкция ВЛ-0,4 кВ ул.К.Цеткин и/н 0000376  и  ул.Пушкина и/н 0000440 п.Иноземцево, СИП-2 3х35+1х54,6 - 2,02 км и СИП-4 2х16 - 1,42 км</v>
      </c>
      <c r="C36" s="92" t="str">
        <f>1!C38</f>
        <v>G_Gelezno_006</v>
      </c>
      <c r="D36" s="127"/>
      <c r="E36" s="127"/>
      <c r="F36" s="127">
        <f>4!J40</f>
        <v>2.02</v>
      </c>
      <c r="G36" s="127"/>
      <c r="H36" s="127"/>
      <c r="I36" s="127"/>
      <c r="J36" s="127"/>
      <c r="K36" s="127"/>
      <c r="L36" s="127"/>
      <c r="M36" s="491">
        <f>4!Q40</f>
        <v>2.02</v>
      </c>
      <c r="N36" s="127"/>
      <c r="O36" s="127"/>
      <c r="P36" s="127"/>
      <c r="Q36" s="127"/>
      <c r="R36" s="127"/>
      <c r="S36" s="127"/>
      <c r="T36" s="127">
        <f t="shared" si="22"/>
        <v>2.02</v>
      </c>
      <c r="U36" s="127"/>
      <c r="V36" s="127"/>
      <c r="W36" s="127"/>
      <c r="X36" s="127"/>
      <c r="Y36" s="127"/>
      <c r="Z36" s="127"/>
      <c r="AA36" s="491">
        <f t="shared" si="23"/>
        <v>2.02</v>
      </c>
      <c r="AB36" s="127"/>
      <c r="AC36" s="127"/>
      <c r="AD36" s="127"/>
      <c r="AE36" s="127"/>
      <c r="AF36" s="127"/>
      <c r="AG36" s="127"/>
      <c r="AH36" s="127">
        <f t="shared" si="24"/>
        <v>2.02</v>
      </c>
      <c r="AI36" s="127"/>
      <c r="AJ36" s="127"/>
      <c r="AK36" s="127"/>
      <c r="AL36" s="127"/>
      <c r="AM36" s="127"/>
      <c r="AN36" s="127"/>
      <c r="AO36" s="491">
        <f t="shared" si="21"/>
        <v>2.02</v>
      </c>
      <c r="AP36" s="127"/>
      <c r="AQ36" s="127"/>
      <c r="AR36" s="127"/>
      <c r="AS36" s="127"/>
      <c r="AT36" s="409" t="str">
        <f>4!AV40</f>
        <v>Обеспечения качества электроснабжения населения</v>
      </c>
    </row>
    <row r="37" spans="1:46" s="2" customFormat="1" ht="31.5">
      <c r="A37" s="238" t="str">
        <f>1!A39</f>
        <v>1.1</v>
      </c>
      <c r="B37" s="170" t="str">
        <f>1!B39</f>
        <v>Реконструкция ВЛ-0,4 кВ ул.Бахановича, г.Железноводск, (и/н 0000285), СИП-2 3х35+1х54,6 - 0,502км и СИП-4 2х16 - 0,784 км</v>
      </c>
      <c r="C37" s="92" t="str">
        <f>1!C39</f>
        <v>G_Gelezno_007</v>
      </c>
      <c r="D37" s="127"/>
      <c r="E37" s="127"/>
      <c r="F37" s="127">
        <f>4!J41</f>
        <v>0.502</v>
      </c>
      <c r="G37" s="127"/>
      <c r="H37" s="127"/>
      <c r="I37" s="127"/>
      <c r="J37" s="127"/>
      <c r="K37" s="127"/>
      <c r="L37" s="127"/>
      <c r="M37" s="491">
        <f>4!Q41</f>
        <v>0.502</v>
      </c>
      <c r="N37" s="127"/>
      <c r="O37" s="127"/>
      <c r="P37" s="127"/>
      <c r="Q37" s="127"/>
      <c r="R37" s="127"/>
      <c r="S37" s="127"/>
      <c r="T37" s="127">
        <f t="shared" si="22"/>
        <v>0.502</v>
      </c>
      <c r="U37" s="127"/>
      <c r="V37" s="127"/>
      <c r="W37" s="127"/>
      <c r="X37" s="127"/>
      <c r="Y37" s="127"/>
      <c r="Z37" s="127"/>
      <c r="AA37" s="491">
        <f t="shared" si="23"/>
        <v>0.502</v>
      </c>
      <c r="AB37" s="127"/>
      <c r="AC37" s="127"/>
      <c r="AD37" s="127"/>
      <c r="AE37" s="127"/>
      <c r="AF37" s="127"/>
      <c r="AG37" s="127"/>
      <c r="AH37" s="127">
        <f t="shared" si="24"/>
        <v>0.502</v>
      </c>
      <c r="AI37" s="127"/>
      <c r="AJ37" s="127"/>
      <c r="AK37" s="127"/>
      <c r="AL37" s="127"/>
      <c r="AM37" s="127"/>
      <c r="AN37" s="127"/>
      <c r="AO37" s="491">
        <f t="shared" si="21"/>
        <v>0.502</v>
      </c>
      <c r="AP37" s="127"/>
      <c r="AQ37" s="127"/>
      <c r="AR37" s="127"/>
      <c r="AS37" s="127"/>
      <c r="AT37" s="409" t="str">
        <f>4!AV41</f>
        <v>Обеспечения качества электроснабжения населения</v>
      </c>
    </row>
    <row r="38" spans="1:46" s="2" customFormat="1" ht="47.25">
      <c r="A38" s="238" t="str">
        <f>1!A40</f>
        <v>1.1</v>
      </c>
      <c r="B38" s="170" t="str">
        <f>1!B40</f>
        <v>Реконструкция ВЛ-0,4 кВ ул.Ивановская, г. Железноводск, (и/н 0000370 и 0000371 ), СИП-2 3х35+1х54,6 - 1,12 км и СИП-4 2х16 - 0,4 км</v>
      </c>
      <c r="C38" s="92" t="str">
        <f>1!C40</f>
        <v>G_Gelezno_008</v>
      </c>
      <c r="D38" s="127"/>
      <c r="E38" s="127"/>
      <c r="F38" s="127">
        <f>4!J42</f>
        <v>1.12</v>
      </c>
      <c r="G38" s="127"/>
      <c r="H38" s="127"/>
      <c r="I38" s="127"/>
      <c r="J38" s="127"/>
      <c r="K38" s="127"/>
      <c r="L38" s="127"/>
      <c r="M38" s="491">
        <f>4!Q42</f>
        <v>1.12</v>
      </c>
      <c r="N38" s="127"/>
      <c r="O38" s="127"/>
      <c r="P38" s="127"/>
      <c r="Q38" s="127"/>
      <c r="R38" s="127"/>
      <c r="S38" s="127"/>
      <c r="T38" s="127">
        <f t="shared" si="22"/>
        <v>1.12</v>
      </c>
      <c r="U38" s="127"/>
      <c r="V38" s="127"/>
      <c r="W38" s="127"/>
      <c r="X38" s="127"/>
      <c r="Y38" s="127"/>
      <c r="Z38" s="127"/>
      <c r="AA38" s="491">
        <f t="shared" si="23"/>
        <v>1.12</v>
      </c>
      <c r="AB38" s="127"/>
      <c r="AC38" s="127"/>
      <c r="AD38" s="127"/>
      <c r="AE38" s="127"/>
      <c r="AF38" s="127"/>
      <c r="AG38" s="127"/>
      <c r="AH38" s="127">
        <f t="shared" si="24"/>
        <v>1.12</v>
      </c>
      <c r="AI38" s="127"/>
      <c r="AJ38" s="127"/>
      <c r="AK38" s="127"/>
      <c r="AL38" s="127"/>
      <c r="AM38" s="127"/>
      <c r="AN38" s="127"/>
      <c r="AO38" s="491">
        <f t="shared" si="21"/>
        <v>1.12</v>
      </c>
      <c r="AP38" s="127"/>
      <c r="AQ38" s="127"/>
      <c r="AR38" s="127"/>
      <c r="AS38" s="127"/>
      <c r="AT38" s="409" t="str">
        <f>4!AV42</f>
        <v>Обеспечения качества электроснабжения населения</v>
      </c>
    </row>
    <row r="39" spans="1:46" s="2" customFormat="1" ht="47.25">
      <c r="A39" s="238" t="str">
        <f>1!A41</f>
        <v>1.1</v>
      </c>
      <c r="B39" s="170" t="str">
        <f>1!B41</f>
        <v>Реконструкция ВЛ-0,4 кВ ул.Бахановича от ул.Чапаева, г.Желез-новодск, (и/н 0000283), СИП-2 3х35+1х54,6 - 0,836 км и СИП-4 2х16 - 1,306 км</v>
      </c>
      <c r="C39" s="92" t="str">
        <f>1!C41</f>
        <v>G_Gelezno_009</v>
      </c>
      <c r="D39" s="127"/>
      <c r="E39" s="127"/>
      <c r="F39" s="127">
        <f>4!J43</f>
        <v>0.836</v>
      </c>
      <c r="G39" s="127"/>
      <c r="H39" s="127"/>
      <c r="I39" s="127"/>
      <c r="J39" s="127"/>
      <c r="K39" s="127"/>
      <c r="L39" s="127"/>
      <c r="M39" s="491">
        <f>4!Q43</f>
        <v>0.836</v>
      </c>
      <c r="N39" s="127"/>
      <c r="O39" s="127"/>
      <c r="P39" s="127"/>
      <c r="Q39" s="127"/>
      <c r="R39" s="127"/>
      <c r="S39" s="127"/>
      <c r="T39" s="127">
        <f t="shared" si="22"/>
        <v>0.836</v>
      </c>
      <c r="U39" s="127"/>
      <c r="V39" s="127"/>
      <c r="W39" s="127"/>
      <c r="X39" s="127"/>
      <c r="Y39" s="127"/>
      <c r="Z39" s="127"/>
      <c r="AA39" s="491">
        <f t="shared" si="23"/>
        <v>0.836</v>
      </c>
      <c r="AB39" s="127"/>
      <c r="AC39" s="127"/>
      <c r="AD39" s="127"/>
      <c r="AE39" s="127"/>
      <c r="AF39" s="127"/>
      <c r="AG39" s="127"/>
      <c r="AH39" s="127">
        <f t="shared" si="24"/>
        <v>0.836</v>
      </c>
      <c r="AI39" s="127"/>
      <c r="AJ39" s="127"/>
      <c r="AK39" s="127"/>
      <c r="AL39" s="127"/>
      <c r="AM39" s="127"/>
      <c r="AN39" s="127"/>
      <c r="AO39" s="491">
        <f>AA39</f>
        <v>0.836</v>
      </c>
      <c r="AP39" s="127"/>
      <c r="AQ39" s="127"/>
      <c r="AR39" s="127"/>
      <c r="AS39" s="127"/>
      <c r="AT39" s="409" t="str">
        <f>4!AV43</f>
        <v>Обеспечения качества электроснабжения населения</v>
      </c>
    </row>
    <row r="40" spans="1:46" s="2" customFormat="1" ht="7.5" customHeight="1">
      <c r="A40" s="238"/>
      <c r="B40" s="125"/>
      <c r="C40" s="92"/>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263"/>
    </row>
    <row r="41" spans="1:46" s="5" customFormat="1" ht="31.5">
      <c r="A41" s="239" t="str">
        <f>1!A43</f>
        <v>1.2</v>
      </c>
      <c r="B41" s="351" t="str">
        <f>1!B43</f>
        <v>Реконструкция трансформаторных и иных подстанций, всего, в том числе:</v>
      </c>
      <c r="C41" s="142" t="str">
        <f>1!C43</f>
        <v>Г</v>
      </c>
      <c r="D41" s="141">
        <f aca="true" t="shared" si="25" ref="D41:AS41">SUM(D42:D43)</f>
        <v>0</v>
      </c>
      <c r="E41" s="141">
        <f t="shared" si="25"/>
        <v>0</v>
      </c>
      <c r="F41" s="141">
        <f t="shared" si="25"/>
        <v>0</v>
      </c>
      <c r="G41" s="141">
        <f t="shared" si="25"/>
        <v>0</v>
      </c>
      <c r="H41" s="141">
        <f t="shared" si="25"/>
        <v>0</v>
      </c>
      <c r="I41" s="141">
        <f t="shared" si="25"/>
        <v>0</v>
      </c>
      <c r="J41" s="141">
        <f t="shared" si="25"/>
        <v>0</v>
      </c>
      <c r="K41" s="141">
        <f t="shared" si="25"/>
        <v>0</v>
      </c>
      <c r="L41" s="141">
        <f t="shared" si="25"/>
        <v>0</v>
      </c>
      <c r="M41" s="141">
        <f t="shared" si="25"/>
        <v>0</v>
      </c>
      <c r="N41" s="141">
        <f t="shared" si="25"/>
        <v>0</v>
      </c>
      <c r="O41" s="141">
        <f t="shared" si="25"/>
        <v>0</v>
      </c>
      <c r="P41" s="141">
        <f t="shared" si="25"/>
        <v>0</v>
      </c>
      <c r="Q41" s="141">
        <f t="shared" si="25"/>
        <v>0</v>
      </c>
      <c r="R41" s="141">
        <f t="shared" si="25"/>
        <v>0</v>
      </c>
      <c r="S41" s="141">
        <f t="shared" si="25"/>
        <v>0</v>
      </c>
      <c r="T41" s="141">
        <f t="shared" si="25"/>
        <v>0</v>
      </c>
      <c r="U41" s="141">
        <f t="shared" si="25"/>
        <v>0</v>
      </c>
      <c r="V41" s="141">
        <f t="shared" si="25"/>
        <v>0</v>
      </c>
      <c r="W41" s="141">
        <f t="shared" si="25"/>
        <v>0</v>
      </c>
      <c r="X41" s="141">
        <f t="shared" si="25"/>
        <v>0</v>
      </c>
      <c r="Y41" s="141">
        <f t="shared" si="25"/>
        <v>0</v>
      </c>
      <c r="Z41" s="141">
        <f t="shared" si="25"/>
        <v>0</v>
      </c>
      <c r="AA41" s="141">
        <f t="shared" si="25"/>
        <v>0</v>
      </c>
      <c r="AB41" s="141">
        <f t="shared" si="25"/>
        <v>0</v>
      </c>
      <c r="AC41" s="141">
        <f t="shared" si="25"/>
        <v>0</v>
      </c>
      <c r="AD41" s="141">
        <f t="shared" si="25"/>
        <v>0</v>
      </c>
      <c r="AE41" s="141">
        <f t="shared" si="25"/>
        <v>0</v>
      </c>
      <c r="AF41" s="141">
        <f t="shared" si="25"/>
        <v>0</v>
      </c>
      <c r="AG41" s="141">
        <f t="shared" si="25"/>
        <v>0</v>
      </c>
      <c r="AH41" s="141">
        <f t="shared" si="25"/>
        <v>0</v>
      </c>
      <c r="AI41" s="141">
        <f t="shared" si="25"/>
        <v>0</v>
      </c>
      <c r="AJ41" s="141">
        <f t="shared" si="25"/>
        <v>0</v>
      </c>
      <c r="AK41" s="141">
        <f t="shared" si="25"/>
        <v>0</v>
      </c>
      <c r="AL41" s="141">
        <f t="shared" si="25"/>
        <v>0</v>
      </c>
      <c r="AM41" s="141">
        <f t="shared" si="25"/>
        <v>0</v>
      </c>
      <c r="AN41" s="141">
        <f t="shared" si="25"/>
        <v>0</v>
      </c>
      <c r="AO41" s="141">
        <f t="shared" si="25"/>
        <v>0</v>
      </c>
      <c r="AP41" s="141">
        <f t="shared" si="25"/>
        <v>0</v>
      </c>
      <c r="AQ41" s="141">
        <f t="shared" si="25"/>
        <v>0</v>
      </c>
      <c r="AR41" s="141">
        <f t="shared" si="25"/>
        <v>0</v>
      </c>
      <c r="AS41" s="141">
        <f t="shared" si="25"/>
        <v>0</v>
      </c>
      <c r="AT41" s="264"/>
    </row>
    <row r="42" spans="1:46" s="2" customFormat="1" ht="15.75">
      <c r="A42" s="238" t="str">
        <f>1!A44</f>
        <v>1.2</v>
      </c>
      <c r="B42" s="125" t="str">
        <f>1!B44</f>
        <v>Реконструкция в ТП-187  (и/н 0001379) (камера сборная серии КСО-393-13-400 - 1 шт. и камера сборная серии КСО-393-01 - 1шт.)</v>
      </c>
      <c r="C42" s="125" t="str">
        <f>1!C44</f>
        <v>G_Gelezno_010</v>
      </c>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263"/>
    </row>
    <row r="43" spans="1:46" s="2" customFormat="1" ht="11.25" customHeight="1">
      <c r="A43" s="238"/>
      <c r="B43" s="125"/>
      <c r="C43" s="125"/>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263"/>
    </row>
    <row r="44" spans="1:46" s="5" customFormat="1" ht="15.75">
      <c r="A44" s="239" t="str">
        <f>1!A46</f>
        <v>1.3</v>
      </c>
      <c r="B44" s="143" t="str">
        <f>1!B46</f>
        <v>Прочие инвестиционные проекты, всего, в том числе:</v>
      </c>
      <c r="C44" s="142" t="str">
        <f>1!C46</f>
        <v>Г</v>
      </c>
      <c r="D44" s="141">
        <f aca="true" t="shared" si="26" ref="D44:AS44">SUM(D45:D47)</f>
        <v>0</v>
      </c>
      <c r="E44" s="141">
        <f t="shared" si="26"/>
        <v>0</v>
      </c>
      <c r="F44" s="141">
        <f t="shared" si="26"/>
        <v>0</v>
      </c>
      <c r="G44" s="141">
        <f t="shared" si="26"/>
        <v>0</v>
      </c>
      <c r="H44" s="141">
        <f t="shared" si="26"/>
        <v>0</v>
      </c>
      <c r="I44" s="141">
        <f t="shared" si="26"/>
        <v>0</v>
      </c>
      <c r="J44" s="141">
        <f t="shared" si="26"/>
        <v>0</v>
      </c>
      <c r="K44" s="141">
        <f t="shared" si="26"/>
        <v>0</v>
      </c>
      <c r="L44" s="141">
        <f t="shared" si="26"/>
        <v>0</v>
      </c>
      <c r="M44" s="141">
        <f t="shared" si="26"/>
        <v>0</v>
      </c>
      <c r="N44" s="141">
        <f t="shared" si="26"/>
        <v>0</v>
      </c>
      <c r="O44" s="141">
        <f t="shared" si="26"/>
        <v>0</v>
      </c>
      <c r="P44" s="141">
        <f t="shared" si="26"/>
        <v>0</v>
      </c>
      <c r="Q44" s="141">
        <f t="shared" si="26"/>
        <v>0</v>
      </c>
      <c r="R44" s="141">
        <f t="shared" si="26"/>
        <v>0</v>
      </c>
      <c r="S44" s="141">
        <f t="shared" si="26"/>
        <v>0</v>
      </c>
      <c r="T44" s="141">
        <f t="shared" si="26"/>
        <v>0</v>
      </c>
      <c r="U44" s="141">
        <f t="shared" si="26"/>
        <v>0</v>
      </c>
      <c r="V44" s="141">
        <f t="shared" si="26"/>
        <v>0</v>
      </c>
      <c r="W44" s="141">
        <f t="shared" si="26"/>
        <v>0</v>
      </c>
      <c r="X44" s="141">
        <f t="shared" si="26"/>
        <v>0</v>
      </c>
      <c r="Y44" s="141">
        <f t="shared" si="26"/>
        <v>0</v>
      </c>
      <c r="Z44" s="141">
        <f t="shared" si="26"/>
        <v>0</v>
      </c>
      <c r="AA44" s="141">
        <f t="shared" si="26"/>
        <v>0</v>
      </c>
      <c r="AB44" s="141">
        <f t="shared" si="26"/>
        <v>0</v>
      </c>
      <c r="AC44" s="141">
        <f t="shared" si="26"/>
        <v>0</v>
      </c>
      <c r="AD44" s="141">
        <f t="shared" si="26"/>
        <v>0</v>
      </c>
      <c r="AE44" s="141">
        <f t="shared" si="26"/>
        <v>0</v>
      </c>
      <c r="AF44" s="141">
        <f t="shared" si="26"/>
        <v>0</v>
      </c>
      <c r="AG44" s="141">
        <f t="shared" si="26"/>
        <v>0</v>
      </c>
      <c r="AH44" s="141">
        <f t="shared" si="26"/>
        <v>0</v>
      </c>
      <c r="AI44" s="141">
        <f t="shared" si="26"/>
        <v>0</v>
      </c>
      <c r="AJ44" s="141">
        <f t="shared" si="26"/>
        <v>0</v>
      </c>
      <c r="AK44" s="141">
        <f t="shared" si="26"/>
        <v>0</v>
      </c>
      <c r="AL44" s="141">
        <f t="shared" si="26"/>
        <v>0</v>
      </c>
      <c r="AM44" s="141">
        <f t="shared" si="26"/>
        <v>0</v>
      </c>
      <c r="AN44" s="141">
        <f t="shared" si="26"/>
        <v>0</v>
      </c>
      <c r="AO44" s="141">
        <f t="shared" si="26"/>
        <v>0</v>
      </c>
      <c r="AP44" s="141">
        <f t="shared" si="26"/>
        <v>0</v>
      </c>
      <c r="AQ44" s="141">
        <f t="shared" si="26"/>
        <v>0</v>
      </c>
      <c r="AR44" s="141">
        <f t="shared" si="26"/>
        <v>0</v>
      </c>
      <c r="AS44" s="141">
        <f t="shared" si="26"/>
        <v>0</v>
      </c>
      <c r="AT44" s="264"/>
    </row>
    <row r="45" spans="1:46" s="2" customFormat="1" ht="15.75">
      <c r="A45" s="238" t="str">
        <f>1!A47</f>
        <v>1.3</v>
      </c>
      <c r="B45" s="125" t="str">
        <f>1!B47</f>
        <v>Внутренний контур системы коммерческого учёта АСКУЭ   в   ТП-40; 15; 185; 28; 9  и  РП-3; 4; 5; 6.</v>
      </c>
      <c r="C45" s="125" t="str">
        <f>1!C47</f>
        <v>G_Gelezno_011</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263"/>
    </row>
    <row r="46" spans="1:46" s="2" customFormat="1" ht="15.75">
      <c r="A46" s="238" t="str">
        <f>1!A48</f>
        <v>1.3</v>
      </c>
      <c r="B46" s="125" t="str">
        <f>1!B48</f>
        <v>Оборудование, не требующее монтажа</v>
      </c>
      <c r="C46" s="125" t="str">
        <f>1!C48</f>
        <v>G_Gelezno_012</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263"/>
    </row>
    <row r="47" spans="1:46" s="2" customFormat="1" ht="15.75">
      <c r="A47" s="238"/>
      <c r="B47" s="125"/>
      <c r="C47" s="125"/>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263"/>
    </row>
    <row r="48" spans="1:46" s="5" customFormat="1" ht="15.75">
      <c r="A48" s="239" t="str">
        <f>1!A50</f>
        <v>1.4</v>
      </c>
      <c r="B48" s="351" t="str">
        <f>1!B50</f>
        <v>Новое строительство, всего, в том числе:</v>
      </c>
      <c r="C48" s="142" t="str">
        <f>1!C50</f>
        <v>Г</v>
      </c>
      <c r="D48" s="141">
        <f>D49+D51</f>
        <v>1.38</v>
      </c>
      <c r="E48" s="141">
        <f aca="true" t="shared" si="27" ref="E48:N48">SUM(E88:E97)</f>
        <v>0</v>
      </c>
      <c r="F48" s="141">
        <f>F49+F51</f>
        <v>1.926</v>
      </c>
      <c r="G48" s="141">
        <f t="shared" si="27"/>
        <v>0</v>
      </c>
      <c r="H48" s="141">
        <f>H49+H51</f>
        <v>5.946</v>
      </c>
      <c r="I48" s="141">
        <f t="shared" si="27"/>
        <v>0</v>
      </c>
      <c r="J48" s="141">
        <f t="shared" si="27"/>
        <v>0</v>
      </c>
      <c r="K48" s="141">
        <f>K49+K51</f>
        <v>1.38</v>
      </c>
      <c r="L48" s="141">
        <f t="shared" si="27"/>
        <v>0</v>
      </c>
      <c r="M48" s="141">
        <f>M49+M51</f>
        <v>1.926</v>
      </c>
      <c r="N48" s="141">
        <f t="shared" si="27"/>
        <v>0</v>
      </c>
      <c r="O48" s="141">
        <f>O49+O51</f>
        <v>5.946</v>
      </c>
      <c r="P48" s="141">
        <f aca="true" t="shared" si="28" ref="P48:AB48">SUM(P88:P97)</f>
        <v>0</v>
      </c>
      <c r="Q48" s="141">
        <f t="shared" si="28"/>
        <v>0</v>
      </c>
      <c r="R48" s="141">
        <f>R49+R51</f>
        <v>1.38</v>
      </c>
      <c r="S48" s="141">
        <f t="shared" si="28"/>
        <v>0</v>
      </c>
      <c r="T48" s="141">
        <f>T49+T51</f>
        <v>1.926</v>
      </c>
      <c r="U48" s="141">
        <f t="shared" si="28"/>
        <v>0</v>
      </c>
      <c r="V48" s="141">
        <f>V49+V51</f>
        <v>5.946</v>
      </c>
      <c r="W48" s="141">
        <f t="shared" si="28"/>
        <v>0</v>
      </c>
      <c r="X48" s="141">
        <f t="shared" si="28"/>
        <v>0</v>
      </c>
      <c r="Y48" s="141">
        <f>Y49+Y51</f>
        <v>1.38</v>
      </c>
      <c r="Z48" s="141">
        <f t="shared" si="28"/>
        <v>0</v>
      </c>
      <c r="AA48" s="141">
        <f>AA49+AA51</f>
        <v>1.926</v>
      </c>
      <c r="AB48" s="141">
        <f t="shared" si="28"/>
        <v>0</v>
      </c>
      <c r="AC48" s="141">
        <f>AC49+AC51</f>
        <v>5.946</v>
      </c>
      <c r="AD48" s="141">
        <f aca="true" t="shared" si="29" ref="AD48:AP48">SUM(AD88:AD97)</f>
        <v>0</v>
      </c>
      <c r="AE48" s="141">
        <f t="shared" si="29"/>
        <v>0</v>
      </c>
      <c r="AF48" s="141">
        <f>AF49+AF51</f>
        <v>1.38</v>
      </c>
      <c r="AG48" s="141">
        <f t="shared" si="29"/>
        <v>0</v>
      </c>
      <c r="AH48" s="141">
        <f>AH49+AH51</f>
        <v>1.926</v>
      </c>
      <c r="AI48" s="141">
        <f t="shared" si="29"/>
        <v>0</v>
      </c>
      <c r="AJ48" s="141">
        <f>AJ49+AJ51</f>
        <v>5.946</v>
      </c>
      <c r="AK48" s="141">
        <f t="shared" si="29"/>
        <v>0</v>
      </c>
      <c r="AL48" s="141">
        <f t="shared" si="29"/>
        <v>0</v>
      </c>
      <c r="AM48" s="141">
        <f>AM49+AM51</f>
        <v>1.38</v>
      </c>
      <c r="AN48" s="141">
        <f t="shared" si="29"/>
        <v>0</v>
      </c>
      <c r="AO48" s="141">
        <f>AO49+AO51</f>
        <v>1.926</v>
      </c>
      <c r="AP48" s="141">
        <f t="shared" si="29"/>
        <v>0</v>
      </c>
      <c r="AQ48" s="141">
        <f>AQ49+AQ51</f>
        <v>5.946</v>
      </c>
      <c r="AR48" s="141">
        <f>SUM(AR88:AR97)</f>
        <v>0</v>
      </c>
      <c r="AS48" s="141">
        <f>SUM(AS88:AS97)</f>
        <v>0</v>
      </c>
      <c r="AT48" s="264"/>
    </row>
    <row r="49" spans="1:46" s="5" customFormat="1" ht="31.5">
      <c r="A49" s="239" t="str">
        <f>1!A51</f>
        <v>1.4.1</v>
      </c>
      <c r="B49" s="351" t="str">
        <f>1!B51</f>
        <v>Прочее новое строительство объектов электросетевого хозяйства</v>
      </c>
      <c r="C49" s="142" t="str">
        <f>1!C51</f>
        <v>Г</v>
      </c>
      <c r="D49" s="141">
        <f>D50</f>
        <v>0</v>
      </c>
      <c r="E49" s="141"/>
      <c r="F49" s="141">
        <f>F50</f>
        <v>0</v>
      </c>
      <c r="G49" s="141"/>
      <c r="H49" s="141">
        <f>H50</f>
        <v>2.244</v>
      </c>
      <c r="I49" s="141"/>
      <c r="J49" s="141"/>
      <c r="K49" s="141">
        <f>K50</f>
        <v>0</v>
      </c>
      <c r="L49" s="141"/>
      <c r="M49" s="141">
        <f>M50</f>
        <v>0</v>
      </c>
      <c r="N49" s="141"/>
      <c r="O49" s="141">
        <f>O50</f>
        <v>2.244</v>
      </c>
      <c r="P49" s="141"/>
      <c r="Q49" s="141"/>
      <c r="R49" s="141"/>
      <c r="S49" s="141"/>
      <c r="T49" s="141">
        <f>T50</f>
        <v>0</v>
      </c>
      <c r="U49" s="141"/>
      <c r="V49" s="141">
        <f>V50</f>
        <v>2.244</v>
      </c>
      <c r="W49" s="141"/>
      <c r="X49" s="141"/>
      <c r="Y49" s="141"/>
      <c r="Z49" s="141"/>
      <c r="AA49" s="141">
        <f>AA50</f>
        <v>0</v>
      </c>
      <c r="AB49" s="141"/>
      <c r="AC49" s="141">
        <f>AC50</f>
        <v>2.244</v>
      </c>
      <c r="AD49" s="141"/>
      <c r="AE49" s="141"/>
      <c r="AF49" s="141"/>
      <c r="AG49" s="141"/>
      <c r="AH49" s="141">
        <f>AH50</f>
        <v>0</v>
      </c>
      <c r="AI49" s="141"/>
      <c r="AJ49" s="141">
        <f>AJ50</f>
        <v>2.244</v>
      </c>
      <c r="AK49" s="141"/>
      <c r="AL49" s="141"/>
      <c r="AM49" s="141"/>
      <c r="AN49" s="141"/>
      <c r="AO49" s="141">
        <f>AO50</f>
        <v>0</v>
      </c>
      <c r="AP49" s="141"/>
      <c r="AQ49" s="141">
        <f>AQ50</f>
        <v>2.244</v>
      </c>
      <c r="AR49" s="141"/>
      <c r="AS49" s="141"/>
      <c r="AT49" s="264"/>
    </row>
    <row r="50" spans="1:46" s="5" customFormat="1" ht="31.5">
      <c r="A50" s="238" t="str">
        <f>1!A52</f>
        <v>1.4.1.1</v>
      </c>
      <c r="B50" s="170" t="str">
        <f>1!B52</f>
        <v>Строительство КЛ-10 кВ, Ф-187(С-2) от ПС"Машук" до ТП-187, п.Иноземцево , L=2,244 км (ААБлУ 3х240)</v>
      </c>
      <c r="C50" s="125" t="str">
        <f>1!C52</f>
        <v>G_Gelezno_013</v>
      </c>
      <c r="D50" s="141"/>
      <c r="E50" s="141"/>
      <c r="F50" s="127"/>
      <c r="G50" s="141"/>
      <c r="H50" s="124">
        <f>4!J54</f>
        <v>2.244</v>
      </c>
      <c r="I50" s="141"/>
      <c r="J50" s="141"/>
      <c r="K50" s="141"/>
      <c r="L50" s="141"/>
      <c r="M50" s="141"/>
      <c r="N50" s="141"/>
      <c r="O50" s="124">
        <f>4!Q54</f>
        <v>2.244</v>
      </c>
      <c r="P50" s="141"/>
      <c r="Q50" s="141"/>
      <c r="R50" s="141"/>
      <c r="S50" s="141"/>
      <c r="T50" s="124"/>
      <c r="U50" s="141"/>
      <c r="V50" s="124">
        <f>H50</f>
        <v>2.244</v>
      </c>
      <c r="W50" s="141"/>
      <c r="X50" s="141"/>
      <c r="Y50" s="141"/>
      <c r="Z50" s="141"/>
      <c r="AA50" s="141"/>
      <c r="AB50" s="141"/>
      <c r="AC50" s="124">
        <f>O50</f>
        <v>2.244</v>
      </c>
      <c r="AD50" s="141"/>
      <c r="AE50" s="141"/>
      <c r="AF50" s="141"/>
      <c r="AG50" s="141"/>
      <c r="AH50" s="124"/>
      <c r="AI50" s="141"/>
      <c r="AJ50" s="124">
        <f>V50</f>
        <v>2.244</v>
      </c>
      <c r="AK50" s="141"/>
      <c r="AL50" s="141"/>
      <c r="AM50" s="141"/>
      <c r="AN50" s="141"/>
      <c r="AO50" s="141"/>
      <c r="AP50" s="141"/>
      <c r="AQ50" s="124">
        <f>AC50</f>
        <v>2.244</v>
      </c>
      <c r="AR50" s="141"/>
      <c r="AS50" s="141"/>
      <c r="AT50" s="409" t="str">
        <f>4!AV54</f>
        <v>Обеспечения качества электроснабжения населения</v>
      </c>
    </row>
    <row r="51" spans="1:46" s="5" customFormat="1" ht="15.75">
      <c r="A51" s="239" t="str">
        <f>1!A53</f>
        <v>1.4.2</v>
      </c>
      <c r="B51" s="351" t="str">
        <f>1!B53</f>
        <v>Прочее новое строительство, в счёт тех.присоединений</v>
      </c>
      <c r="C51" s="125"/>
      <c r="D51" s="141">
        <f>SUM(D52:D88)</f>
        <v>1.38</v>
      </c>
      <c r="E51" s="141"/>
      <c r="F51" s="141">
        <f>SUM(F52:F88)</f>
        <v>1.926</v>
      </c>
      <c r="G51" s="141"/>
      <c r="H51" s="141">
        <f>SUM(H52:H88)</f>
        <v>3.702</v>
      </c>
      <c r="I51" s="141"/>
      <c r="J51" s="141"/>
      <c r="K51" s="141">
        <f>SUM(K52:K88)</f>
        <v>1.38</v>
      </c>
      <c r="L51" s="141"/>
      <c r="M51" s="141">
        <f>SUM(M52:M88)</f>
        <v>1.926</v>
      </c>
      <c r="N51" s="141"/>
      <c r="O51" s="141">
        <f>SUM(O52:O88)</f>
        <v>3.702</v>
      </c>
      <c r="P51" s="141"/>
      <c r="Q51" s="141"/>
      <c r="R51" s="141">
        <f>SUM(R52:R88)</f>
        <v>1.38</v>
      </c>
      <c r="S51" s="141"/>
      <c r="T51" s="141">
        <f>SUM(T52:T88)</f>
        <v>1.926</v>
      </c>
      <c r="U51" s="141"/>
      <c r="V51" s="141">
        <f>SUM(V52:V88)</f>
        <v>3.702</v>
      </c>
      <c r="W51" s="141"/>
      <c r="X51" s="141"/>
      <c r="Y51" s="141">
        <f>SUM(Y52:Y88)</f>
        <v>1.38</v>
      </c>
      <c r="Z51" s="141"/>
      <c r="AA51" s="141">
        <f>SUM(AA52:AA88)</f>
        <v>1.926</v>
      </c>
      <c r="AB51" s="141"/>
      <c r="AC51" s="141">
        <f>SUM(AC52:AC88)</f>
        <v>3.702</v>
      </c>
      <c r="AD51" s="141"/>
      <c r="AE51" s="141"/>
      <c r="AF51" s="141">
        <f>SUM(AF52:AF88)</f>
        <v>1.38</v>
      </c>
      <c r="AG51" s="141"/>
      <c r="AH51" s="141">
        <f>SUM(AH52:AH88)</f>
        <v>1.926</v>
      </c>
      <c r="AI51" s="141"/>
      <c r="AJ51" s="141">
        <f>SUM(AJ52:AJ88)</f>
        <v>3.702</v>
      </c>
      <c r="AK51" s="141"/>
      <c r="AL51" s="141"/>
      <c r="AM51" s="141">
        <f>SUM(AM52:AM88)</f>
        <v>1.38</v>
      </c>
      <c r="AN51" s="141"/>
      <c r="AO51" s="141">
        <f>SUM(AO52:AO88)</f>
        <v>1.926</v>
      </c>
      <c r="AP51" s="141"/>
      <c r="AQ51" s="141">
        <f>SUM(AQ52:AQ88)</f>
        <v>3.702</v>
      </c>
      <c r="AR51" s="141"/>
      <c r="AS51" s="141"/>
      <c r="AT51" s="264"/>
    </row>
    <row r="52" spans="1:46" s="5" customFormat="1" ht="47.25">
      <c r="A52" s="509" t="str">
        <f>1!A54</f>
        <v>1.4.2.1</v>
      </c>
      <c r="B52" s="170" t="str">
        <f>1!B54</f>
        <v>Строительство ВЛ-0,4 кВ от РУ-0,4 кВ ТП-185 до ВРУ офисного здания ул.Пушкина,2А, п.Иноземцево, L=0,235 км (СИП-2 3х50+1х54)</v>
      </c>
      <c r="C52" s="506" t="str">
        <f>1!C54</f>
        <v>G_Gelezno_ТР1</v>
      </c>
      <c r="D52" s="141"/>
      <c r="E52" s="141"/>
      <c r="F52" s="127">
        <f>4!J56</f>
        <v>0.235</v>
      </c>
      <c r="G52" s="141"/>
      <c r="H52" s="141"/>
      <c r="I52" s="141"/>
      <c r="J52" s="141"/>
      <c r="K52" s="141"/>
      <c r="L52" s="141"/>
      <c r="M52" s="124">
        <f>4!Q56</f>
        <v>0.235</v>
      </c>
      <c r="N52" s="141"/>
      <c r="O52" s="124"/>
      <c r="P52" s="141"/>
      <c r="Q52" s="141"/>
      <c r="R52" s="141"/>
      <c r="S52" s="141"/>
      <c r="T52" s="124">
        <f>F52</f>
        <v>0.235</v>
      </c>
      <c r="U52" s="141"/>
      <c r="V52" s="141"/>
      <c r="W52" s="141"/>
      <c r="X52" s="141"/>
      <c r="Y52" s="141"/>
      <c r="Z52" s="141"/>
      <c r="AA52" s="124">
        <f>M52</f>
        <v>0.235</v>
      </c>
      <c r="AB52" s="141"/>
      <c r="AC52" s="124"/>
      <c r="AD52" s="141"/>
      <c r="AE52" s="141"/>
      <c r="AF52" s="141"/>
      <c r="AG52" s="141"/>
      <c r="AH52" s="124">
        <f>T52</f>
        <v>0.235</v>
      </c>
      <c r="AI52" s="141"/>
      <c r="AJ52" s="141"/>
      <c r="AK52" s="141"/>
      <c r="AL52" s="141"/>
      <c r="AM52" s="141"/>
      <c r="AN52" s="141"/>
      <c r="AO52" s="124">
        <f>AA52</f>
        <v>0.235</v>
      </c>
      <c r="AP52" s="141"/>
      <c r="AQ52" s="124"/>
      <c r="AR52" s="141"/>
      <c r="AS52" s="141"/>
      <c r="AT52" s="409" t="str">
        <f>4!AV56</f>
        <v>Обеспечения качества электроснабжения населения</v>
      </c>
    </row>
    <row r="53" spans="1:46" s="5" customFormat="1" ht="47.25">
      <c r="A53" s="509" t="str">
        <f>1!A55</f>
        <v>1.4.2.2</v>
      </c>
      <c r="B53" s="170" t="str">
        <f>1!B55</f>
        <v>Строительство КЛ-0,4 кВ от РУ-0,4 кВ ТП-18 (С1) до ВРУ МКЖД ул.Косякина (район дома № 49), г.Железноводск, (Линия 1), L=0,143 км (ААБл 4х120)</v>
      </c>
      <c r="C53" s="506" t="str">
        <f>1!C55</f>
        <v>G_Gelezno_ТР2</v>
      </c>
      <c r="D53" s="141"/>
      <c r="E53" s="141"/>
      <c r="F53" s="127"/>
      <c r="G53" s="141"/>
      <c r="H53" s="124">
        <f>4!J57</f>
        <v>0.143</v>
      </c>
      <c r="I53" s="141"/>
      <c r="J53" s="141"/>
      <c r="K53" s="141"/>
      <c r="L53" s="141"/>
      <c r="M53" s="124"/>
      <c r="N53" s="141"/>
      <c r="O53" s="124">
        <f>4!Q57</f>
        <v>0.143</v>
      </c>
      <c r="P53" s="141"/>
      <c r="Q53" s="141"/>
      <c r="R53" s="141"/>
      <c r="S53" s="141"/>
      <c r="T53" s="124"/>
      <c r="U53" s="141"/>
      <c r="V53" s="124">
        <f>H53</f>
        <v>0.143</v>
      </c>
      <c r="W53" s="141"/>
      <c r="X53" s="141"/>
      <c r="Y53" s="141"/>
      <c r="Z53" s="141"/>
      <c r="AA53" s="124"/>
      <c r="AB53" s="141"/>
      <c r="AC53" s="124">
        <f>O53</f>
        <v>0.143</v>
      </c>
      <c r="AD53" s="141"/>
      <c r="AE53" s="141"/>
      <c r="AF53" s="141"/>
      <c r="AG53" s="141"/>
      <c r="AH53" s="124"/>
      <c r="AI53" s="141"/>
      <c r="AJ53" s="124">
        <f>V53</f>
        <v>0.143</v>
      </c>
      <c r="AK53" s="141"/>
      <c r="AL53" s="141"/>
      <c r="AM53" s="141"/>
      <c r="AN53" s="141"/>
      <c r="AO53" s="124"/>
      <c r="AP53" s="141"/>
      <c r="AQ53" s="124">
        <f>AC53</f>
        <v>0.143</v>
      </c>
      <c r="AR53" s="141"/>
      <c r="AS53" s="141"/>
      <c r="AT53" s="409" t="str">
        <f>4!AV57</f>
        <v>Обеспечения качества электроснабжения населения</v>
      </c>
    </row>
    <row r="54" spans="1:46" s="5" customFormat="1" ht="47.25">
      <c r="A54" s="509" t="str">
        <f>1!A56</f>
        <v>1.4.2.3</v>
      </c>
      <c r="B54" s="170" t="str">
        <f>1!B56</f>
        <v>Строительство КЛ-0,4 кВ от РУ-0,4 кВ ТП-18 (С2) до ВРУ МКЖД ул.Косякина (район дома № 49), г.Железноводск, (Линия 2), L=0,143 км (ААБл 4х120)</v>
      </c>
      <c r="C54" s="506" t="str">
        <f>1!C56</f>
        <v>G_Gelezno_ТР3</v>
      </c>
      <c r="D54" s="141"/>
      <c r="E54" s="141"/>
      <c r="F54" s="127"/>
      <c r="G54" s="141"/>
      <c r="H54" s="124">
        <f>4!J58</f>
        <v>0.143</v>
      </c>
      <c r="I54" s="141"/>
      <c r="J54" s="141"/>
      <c r="K54" s="141"/>
      <c r="L54" s="141"/>
      <c r="M54" s="124"/>
      <c r="N54" s="141"/>
      <c r="O54" s="124">
        <f>4!Q58</f>
        <v>0.143</v>
      </c>
      <c r="P54" s="141"/>
      <c r="Q54" s="141"/>
      <c r="R54" s="141"/>
      <c r="S54" s="141"/>
      <c r="T54" s="124"/>
      <c r="U54" s="141"/>
      <c r="V54" s="124">
        <f aca="true" t="shared" si="30" ref="V54:V86">H54</f>
        <v>0.143</v>
      </c>
      <c r="W54" s="141"/>
      <c r="X54" s="141"/>
      <c r="Y54" s="141"/>
      <c r="Z54" s="141"/>
      <c r="AA54" s="124"/>
      <c r="AB54" s="141"/>
      <c r="AC54" s="124">
        <f>O54</f>
        <v>0.143</v>
      </c>
      <c r="AD54" s="141"/>
      <c r="AE54" s="141"/>
      <c r="AF54" s="141"/>
      <c r="AG54" s="141"/>
      <c r="AH54" s="124"/>
      <c r="AI54" s="141"/>
      <c r="AJ54" s="124">
        <f>V54</f>
        <v>0.143</v>
      </c>
      <c r="AK54" s="141"/>
      <c r="AL54" s="141"/>
      <c r="AM54" s="141"/>
      <c r="AN54" s="141"/>
      <c r="AO54" s="124"/>
      <c r="AP54" s="141"/>
      <c r="AQ54" s="124">
        <f>AC54</f>
        <v>0.143</v>
      </c>
      <c r="AR54" s="141"/>
      <c r="AS54" s="141"/>
      <c r="AT54" s="409" t="str">
        <f>4!AV58</f>
        <v>Обеспечения качества электроснабжения населения</v>
      </c>
    </row>
    <row r="55" spans="1:46" s="5" customFormat="1" ht="31.5">
      <c r="A55" s="509" t="str">
        <f>1!A57</f>
        <v>1.4.2.4</v>
      </c>
      <c r="B55" s="170" t="str">
        <f>1!B57</f>
        <v>Строительство КТП-247 в районе озера "Карас", п.Иноземцево (250 кВА)</v>
      </c>
      <c r="C55" s="506" t="str">
        <f>1!C57</f>
        <v>G_Gelezno_ТР4</v>
      </c>
      <c r="D55" s="124">
        <f>4!H59</f>
        <v>0.25</v>
      </c>
      <c r="E55" s="141"/>
      <c r="F55" s="127"/>
      <c r="G55" s="141"/>
      <c r="H55" s="124"/>
      <c r="I55" s="141"/>
      <c r="J55" s="141"/>
      <c r="K55" s="124">
        <f>4!O59</f>
        <v>0.25</v>
      </c>
      <c r="L55" s="141"/>
      <c r="M55" s="124"/>
      <c r="N55" s="141"/>
      <c r="O55" s="124"/>
      <c r="P55" s="141"/>
      <c r="Q55" s="141"/>
      <c r="R55" s="124">
        <f>D55</f>
        <v>0.25</v>
      </c>
      <c r="S55" s="141"/>
      <c r="T55" s="124"/>
      <c r="U55" s="141"/>
      <c r="V55" s="124"/>
      <c r="W55" s="141"/>
      <c r="X55" s="141"/>
      <c r="Y55" s="124">
        <f>K55</f>
        <v>0.25</v>
      </c>
      <c r="Z55" s="141"/>
      <c r="AA55" s="124"/>
      <c r="AB55" s="141"/>
      <c r="AC55" s="124"/>
      <c r="AD55" s="141"/>
      <c r="AE55" s="141"/>
      <c r="AF55" s="124">
        <f>R55</f>
        <v>0.25</v>
      </c>
      <c r="AG55" s="141"/>
      <c r="AH55" s="124"/>
      <c r="AI55" s="141"/>
      <c r="AJ55" s="124"/>
      <c r="AK55" s="141"/>
      <c r="AL55" s="141"/>
      <c r="AM55" s="124">
        <f>Y55</f>
        <v>0.25</v>
      </c>
      <c r="AN55" s="141"/>
      <c r="AO55" s="124"/>
      <c r="AP55" s="141"/>
      <c r="AQ55" s="124"/>
      <c r="AR55" s="141"/>
      <c r="AS55" s="141"/>
      <c r="AT55" s="409" t="str">
        <f>4!AV59</f>
        <v>Обеспечения качества электроснабжения населения</v>
      </c>
    </row>
    <row r="56" spans="1:46" s="5" customFormat="1" ht="47.25">
      <c r="A56" s="509" t="str">
        <f>1!A58</f>
        <v>1.4.2.5</v>
      </c>
      <c r="B56" s="170"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56" s="506" t="str">
        <f>1!C58</f>
        <v>G_Gelezno_ТР5</v>
      </c>
      <c r="D56" s="141"/>
      <c r="E56" s="141"/>
      <c r="F56" s="127">
        <f>4!J60</f>
        <v>0.11</v>
      </c>
      <c r="G56" s="141"/>
      <c r="H56" s="124"/>
      <c r="I56" s="141"/>
      <c r="J56" s="141"/>
      <c r="K56" s="141"/>
      <c r="L56" s="141"/>
      <c r="M56" s="124">
        <f>4!Q60</f>
        <v>0.11</v>
      </c>
      <c r="N56" s="141"/>
      <c r="O56" s="124"/>
      <c r="P56" s="141"/>
      <c r="Q56" s="141"/>
      <c r="R56" s="141"/>
      <c r="S56" s="141"/>
      <c r="T56" s="124">
        <f>F56</f>
        <v>0.11</v>
      </c>
      <c r="U56" s="141"/>
      <c r="V56" s="124"/>
      <c r="W56" s="141"/>
      <c r="X56" s="141"/>
      <c r="Y56" s="141"/>
      <c r="Z56" s="141"/>
      <c r="AA56" s="124">
        <f>M56</f>
        <v>0.11</v>
      </c>
      <c r="AB56" s="141"/>
      <c r="AC56" s="124"/>
      <c r="AD56" s="141"/>
      <c r="AE56" s="141"/>
      <c r="AF56" s="141"/>
      <c r="AG56" s="141"/>
      <c r="AH56" s="124">
        <f>T56</f>
        <v>0.11</v>
      </c>
      <c r="AI56" s="141"/>
      <c r="AJ56" s="124"/>
      <c r="AK56" s="141"/>
      <c r="AL56" s="141"/>
      <c r="AM56" s="141"/>
      <c r="AN56" s="141"/>
      <c r="AO56" s="124">
        <f>AA56</f>
        <v>0.11</v>
      </c>
      <c r="AP56" s="141"/>
      <c r="AQ56" s="124"/>
      <c r="AR56" s="141"/>
      <c r="AS56" s="141"/>
      <c r="AT56" s="409" t="str">
        <f>4!AV60</f>
        <v>Обеспечения качества электроснабжения населения</v>
      </c>
    </row>
    <row r="57" spans="1:46" s="5" customFormat="1" ht="31.5">
      <c r="A57" s="509" t="str">
        <f>1!A59</f>
        <v>1.4.2.6</v>
      </c>
      <c r="B57" s="170" t="str">
        <f>1!B59</f>
        <v>Строительство КЛ-10 кВ от РУ-10 кВ КТП-224 до КТП-247, п.Иноземцево, L=0,918 км (АСБ 3х120)</v>
      </c>
      <c r="C57" s="506" t="str">
        <f>1!C59</f>
        <v>G_Gelezno_ТР6</v>
      </c>
      <c r="D57" s="141"/>
      <c r="E57" s="141"/>
      <c r="F57" s="127"/>
      <c r="G57" s="141"/>
      <c r="H57" s="124">
        <f>4!J61</f>
        <v>0.918</v>
      </c>
      <c r="I57" s="141"/>
      <c r="J57" s="141"/>
      <c r="K57" s="141"/>
      <c r="L57" s="141"/>
      <c r="M57" s="124"/>
      <c r="N57" s="141"/>
      <c r="O57" s="124">
        <f>4!Q61</f>
        <v>0.918</v>
      </c>
      <c r="P57" s="141"/>
      <c r="Q57" s="141"/>
      <c r="R57" s="141"/>
      <c r="S57" s="141"/>
      <c r="T57" s="124"/>
      <c r="U57" s="141"/>
      <c r="V57" s="124">
        <f t="shared" si="30"/>
        <v>0.918</v>
      </c>
      <c r="W57" s="141"/>
      <c r="X57" s="141"/>
      <c r="Y57" s="141"/>
      <c r="Z57" s="141"/>
      <c r="AA57" s="124"/>
      <c r="AB57" s="141"/>
      <c r="AC57" s="124">
        <f>O57</f>
        <v>0.918</v>
      </c>
      <c r="AD57" s="141"/>
      <c r="AE57" s="141"/>
      <c r="AF57" s="141"/>
      <c r="AG57" s="141"/>
      <c r="AH57" s="124"/>
      <c r="AI57" s="141"/>
      <c r="AJ57" s="124">
        <f>V57</f>
        <v>0.918</v>
      </c>
      <c r="AK57" s="141"/>
      <c r="AL57" s="141"/>
      <c r="AM57" s="141"/>
      <c r="AN57" s="141"/>
      <c r="AO57" s="124"/>
      <c r="AP57" s="141"/>
      <c r="AQ57" s="124">
        <f>AC57</f>
        <v>0.918</v>
      </c>
      <c r="AR57" s="141"/>
      <c r="AS57" s="141"/>
      <c r="AT57" s="409" t="str">
        <f>4!AV61</f>
        <v>Обеспечения качества электроснабжения населения</v>
      </c>
    </row>
    <row r="58" spans="1:46" s="5" customFormat="1" ht="47.25">
      <c r="A58" s="509" t="str">
        <f>1!A60</f>
        <v>1.4.2.7</v>
      </c>
      <c r="B58" s="170" t="str">
        <f>1!B60</f>
        <v>Строительство КЛ-0,4 кВ от РУ-0,4 кВ ТП-50 (С-1) до ВРУ МКЖД по ул.Ленина,49(линия 1), г.Железноводск, L=0,061 км (АВБбШв 4х240)</v>
      </c>
      <c r="C58" s="506" t="str">
        <f>1!C60</f>
        <v>G_Gelezno_ТР7</v>
      </c>
      <c r="D58" s="141"/>
      <c r="E58" s="141"/>
      <c r="F58" s="127"/>
      <c r="G58" s="141"/>
      <c r="H58" s="124">
        <f>4!J62</f>
        <v>0.061</v>
      </c>
      <c r="I58" s="141"/>
      <c r="J58" s="141"/>
      <c r="K58" s="141"/>
      <c r="L58" s="141"/>
      <c r="M58" s="124"/>
      <c r="N58" s="141"/>
      <c r="O58" s="124">
        <f>4!Q62</f>
        <v>0.061</v>
      </c>
      <c r="P58" s="141"/>
      <c r="Q58" s="141"/>
      <c r="R58" s="141"/>
      <c r="S58" s="141"/>
      <c r="T58" s="124"/>
      <c r="U58" s="141"/>
      <c r="V58" s="124">
        <f t="shared" si="30"/>
        <v>0.061</v>
      </c>
      <c r="W58" s="141"/>
      <c r="X58" s="141"/>
      <c r="Y58" s="141"/>
      <c r="Z58" s="141"/>
      <c r="AA58" s="124"/>
      <c r="AB58" s="141"/>
      <c r="AC58" s="124">
        <f>O58</f>
        <v>0.061</v>
      </c>
      <c r="AD58" s="141"/>
      <c r="AE58" s="141"/>
      <c r="AF58" s="141"/>
      <c r="AG58" s="141"/>
      <c r="AH58" s="124"/>
      <c r="AI58" s="141"/>
      <c r="AJ58" s="124">
        <f>V58</f>
        <v>0.061</v>
      </c>
      <c r="AK58" s="141"/>
      <c r="AL58" s="141"/>
      <c r="AM58" s="141"/>
      <c r="AN58" s="141"/>
      <c r="AO58" s="124"/>
      <c r="AP58" s="141"/>
      <c r="AQ58" s="124">
        <f>AC58</f>
        <v>0.061</v>
      </c>
      <c r="AR58" s="141"/>
      <c r="AS58" s="141"/>
      <c r="AT58" s="409" t="str">
        <f>4!AV62</f>
        <v>Обеспечения качества электроснабжения населения</v>
      </c>
    </row>
    <row r="59" spans="1:46" s="5" customFormat="1" ht="47.25">
      <c r="A59" s="509" t="str">
        <f>1!A61</f>
        <v>1.4.2.8</v>
      </c>
      <c r="B59" s="170" t="str">
        <f>1!B61</f>
        <v>Строительство КЛ-0,4 кВ от РУ-0,4 кВ ТП-50(С-2) до ВРУ МКЖД по ул.Ленина,49(линия 2), г.Железноводск, L=0,061 км (АВБбШв 4х240)</v>
      </c>
      <c r="C59" s="506" t="str">
        <f>1!C61</f>
        <v>G_Gelezno_ТР8</v>
      </c>
      <c r="D59" s="141"/>
      <c r="E59" s="141"/>
      <c r="F59" s="127"/>
      <c r="G59" s="141"/>
      <c r="H59" s="124">
        <f>4!J63</f>
        <v>0.061</v>
      </c>
      <c r="I59" s="141"/>
      <c r="J59" s="141"/>
      <c r="K59" s="141"/>
      <c r="L59" s="141"/>
      <c r="M59" s="124"/>
      <c r="N59" s="141"/>
      <c r="O59" s="124">
        <f>4!Q63</f>
        <v>0.061</v>
      </c>
      <c r="P59" s="141"/>
      <c r="Q59" s="141"/>
      <c r="R59" s="141"/>
      <c r="S59" s="141"/>
      <c r="T59" s="124"/>
      <c r="U59" s="141"/>
      <c r="V59" s="124">
        <f t="shared" si="30"/>
        <v>0.061</v>
      </c>
      <c r="W59" s="141"/>
      <c r="X59" s="141"/>
      <c r="Y59" s="141"/>
      <c r="Z59" s="141"/>
      <c r="AA59" s="124"/>
      <c r="AB59" s="141"/>
      <c r="AC59" s="124">
        <f>O59</f>
        <v>0.061</v>
      </c>
      <c r="AD59" s="141"/>
      <c r="AE59" s="141"/>
      <c r="AF59" s="141"/>
      <c r="AG59" s="141"/>
      <c r="AH59" s="124"/>
      <c r="AI59" s="141"/>
      <c r="AJ59" s="124">
        <f>V59</f>
        <v>0.061</v>
      </c>
      <c r="AK59" s="141"/>
      <c r="AL59" s="141"/>
      <c r="AM59" s="141"/>
      <c r="AN59" s="141"/>
      <c r="AO59" s="124"/>
      <c r="AP59" s="141"/>
      <c r="AQ59" s="124">
        <f>AC59</f>
        <v>0.061</v>
      </c>
      <c r="AR59" s="141"/>
      <c r="AS59" s="141"/>
      <c r="AT59" s="409" t="str">
        <f>4!AV63</f>
        <v>Обеспечения качества электроснабжения населения</v>
      </c>
    </row>
    <row r="60" spans="1:46" s="5" customFormat="1" ht="31.5">
      <c r="A60" s="509" t="str">
        <f>1!A62</f>
        <v>1.4.2.9</v>
      </c>
      <c r="B60" s="170" t="str">
        <f>1!B62</f>
        <v>Строительство КТП-105 ул.Октябрьская, 96 Б, п.Иноземцево (250 кВА)</v>
      </c>
      <c r="C60" s="506" t="str">
        <f>1!C62</f>
        <v>G_Gelezno_ТР9</v>
      </c>
      <c r="D60" s="124">
        <f>4!H64</f>
        <v>0.25</v>
      </c>
      <c r="E60" s="141"/>
      <c r="F60" s="127"/>
      <c r="G60" s="141"/>
      <c r="H60" s="124"/>
      <c r="I60" s="141"/>
      <c r="J60" s="141"/>
      <c r="K60" s="124">
        <f>4!O64</f>
        <v>0.25</v>
      </c>
      <c r="L60" s="141"/>
      <c r="M60" s="124"/>
      <c r="N60" s="141"/>
      <c r="O60" s="124"/>
      <c r="P60" s="141"/>
      <c r="Q60" s="141"/>
      <c r="R60" s="124">
        <f>D60</f>
        <v>0.25</v>
      </c>
      <c r="S60" s="141"/>
      <c r="T60" s="124"/>
      <c r="U60" s="141"/>
      <c r="V60" s="124"/>
      <c r="W60" s="141"/>
      <c r="X60" s="141"/>
      <c r="Y60" s="124">
        <f>K60</f>
        <v>0.25</v>
      </c>
      <c r="Z60" s="141"/>
      <c r="AA60" s="124"/>
      <c r="AB60" s="141"/>
      <c r="AC60" s="124"/>
      <c r="AD60" s="141"/>
      <c r="AE60" s="141"/>
      <c r="AF60" s="124">
        <f>R60</f>
        <v>0.25</v>
      </c>
      <c r="AG60" s="141"/>
      <c r="AH60" s="124"/>
      <c r="AI60" s="141"/>
      <c r="AJ60" s="124"/>
      <c r="AK60" s="141"/>
      <c r="AL60" s="141"/>
      <c r="AM60" s="124">
        <f>Y60</f>
        <v>0.25</v>
      </c>
      <c r="AN60" s="141"/>
      <c r="AO60" s="124"/>
      <c r="AP60" s="141"/>
      <c r="AQ60" s="124"/>
      <c r="AR60" s="141"/>
      <c r="AS60" s="141"/>
      <c r="AT60" s="409" t="str">
        <f>4!AV64</f>
        <v>Обеспечения качества электроснабжения населения</v>
      </c>
    </row>
    <row r="61" spans="1:46" s="5" customFormat="1" ht="47.25">
      <c r="A61" s="509" t="str">
        <f>1!A63</f>
        <v>1.4.2.10</v>
      </c>
      <c r="B61" s="170" t="str">
        <f>1!B63</f>
        <v>Строительство КЛ-0,4 кВ от РП-2 (С-1) до ВРУ тренировочной площадки стадииона "Спартак" ул.Калинина,3 (линия 1), г.Железноводск, L= 0,245 км (АВБбШв 4х240)</v>
      </c>
      <c r="C61" s="506" t="str">
        <f>1!C63</f>
        <v>G_Gelezno_ТР10</v>
      </c>
      <c r="D61" s="141"/>
      <c r="E61" s="141"/>
      <c r="F61" s="127"/>
      <c r="G61" s="141"/>
      <c r="H61" s="124">
        <f>4!J65</f>
        <v>0.245</v>
      </c>
      <c r="I61" s="141"/>
      <c r="J61" s="141"/>
      <c r="K61" s="141"/>
      <c r="L61" s="141"/>
      <c r="M61" s="124"/>
      <c r="N61" s="141"/>
      <c r="O61" s="124">
        <f>4!Q65</f>
        <v>0.245</v>
      </c>
      <c r="P61" s="141"/>
      <c r="Q61" s="141"/>
      <c r="R61" s="141"/>
      <c r="S61" s="141"/>
      <c r="T61" s="124"/>
      <c r="U61" s="141"/>
      <c r="V61" s="124">
        <f t="shared" si="30"/>
        <v>0.245</v>
      </c>
      <c r="W61" s="141"/>
      <c r="X61" s="141"/>
      <c r="Y61" s="141"/>
      <c r="Z61" s="141"/>
      <c r="AA61" s="124"/>
      <c r="AB61" s="141"/>
      <c r="AC61" s="124">
        <f>O61</f>
        <v>0.245</v>
      </c>
      <c r="AD61" s="141"/>
      <c r="AE61" s="141"/>
      <c r="AF61" s="141"/>
      <c r="AG61" s="141"/>
      <c r="AH61" s="124"/>
      <c r="AI61" s="141"/>
      <c r="AJ61" s="124">
        <f>V61</f>
        <v>0.245</v>
      </c>
      <c r="AK61" s="141"/>
      <c r="AL61" s="141"/>
      <c r="AM61" s="141"/>
      <c r="AN61" s="141"/>
      <c r="AO61" s="124"/>
      <c r="AP61" s="141"/>
      <c r="AQ61" s="124">
        <f>AC61</f>
        <v>0.245</v>
      </c>
      <c r="AR61" s="141"/>
      <c r="AS61" s="141"/>
      <c r="AT61" s="409" t="str">
        <f>4!AV65</f>
        <v>Обеспечения качества электроснабжения населения</v>
      </c>
    </row>
    <row r="62" spans="1:46" s="5" customFormat="1" ht="47.25">
      <c r="A62" s="509" t="str">
        <f>1!A64</f>
        <v>1.4.2.11</v>
      </c>
      <c r="B62" s="170" t="str">
        <f>1!B64</f>
        <v>Строительство КЛ-0,4 кВ от РП-2 (С-2) до ВРУ тренировочной площадки стадиона "Спартак" ул.Калинина,3 (линия 2), г.Железноводск, L= 0,245 км (АВБбШв 4х240)</v>
      </c>
      <c r="C62" s="506" t="str">
        <f>1!C64</f>
        <v>G_Gelezno_ТР11</v>
      </c>
      <c r="D62" s="141"/>
      <c r="E62" s="141"/>
      <c r="F62" s="127"/>
      <c r="G62" s="141"/>
      <c r="H62" s="124">
        <f>4!J66</f>
        <v>0.245</v>
      </c>
      <c r="I62" s="141"/>
      <c r="J62" s="141"/>
      <c r="K62" s="141"/>
      <c r="L62" s="141"/>
      <c r="M62" s="124"/>
      <c r="N62" s="141"/>
      <c r="O62" s="124">
        <f>4!Q66</f>
        <v>0.245</v>
      </c>
      <c r="P62" s="141"/>
      <c r="Q62" s="141"/>
      <c r="R62" s="141"/>
      <c r="S62" s="141"/>
      <c r="T62" s="124"/>
      <c r="U62" s="141"/>
      <c r="V62" s="124">
        <f t="shared" si="30"/>
        <v>0.245</v>
      </c>
      <c r="W62" s="141"/>
      <c r="X62" s="141"/>
      <c r="Y62" s="141"/>
      <c r="Z62" s="141"/>
      <c r="AA62" s="124"/>
      <c r="AB62" s="141"/>
      <c r="AC62" s="124">
        <f>O62</f>
        <v>0.245</v>
      </c>
      <c r="AD62" s="141"/>
      <c r="AE62" s="141"/>
      <c r="AF62" s="141"/>
      <c r="AG62" s="141"/>
      <c r="AH62" s="124"/>
      <c r="AI62" s="141"/>
      <c r="AJ62" s="124">
        <f>V62</f>
        <v>0.245</v>
      </c>
      <c r="AK62" s="141"/>
      <c r="AL62" s="141"/>
      <c r="AM62" s="141"/>
      <c r="AN62" s="141"/>
      <c r="AO62" s="124"/>
      <c r="AP62" s="141"/>
      <c r="AQ62" s="124">
        <f>AC62</f>
        <v>0.245</v>
      </c>
      <c r="AR62" s="141"/>
      <c r="AS62" s="141"/>
      <c r="AT62" s="409" t="str">
        <f>4!AV66</f>
        <v>Обеспечения качества электроснабжения населения</v>
      </c>
    </row>
    <row r="63" spans="1:46" s="5" customFormat="1" ht="25.5">
      <c r="A63" s="509" t="str">
        <f>1!A65</f>
        <v>1.4.2.12</v>
      </c>
      <c r="B63" s="170" t="str">
        <f>1!B65</f>
        <v>Строительство КТП-248 ул.Тихая,8, п.Иноземцево (ТМГ-250 кВА)</v>
      </c>
      <c r="C63" s="506" t="str">
        <f>1!C65</f>
        <v>G_Gelezno_ТР12</v>
      </c>
      <c r="D63" s="124">
        <f>4!H67</f>
        <v>0.25</v>
      </c>
      <c r="E63" s="141"/>
      <c r="F63" s="127"/>
      <c r="G63" s="141"/>
      <c r="H63" s="124"/>
      <c r="I63" s="141"/>
      <c r="J63" s="141"/>
      <c r="K63" s="124">
        <f>4!O67</f>
        <v>0.25</v>
      </c>
      <c r="L63" s="141"/>
      <c r="M63" s="124"/>
      <c r="N63" s="141"/>
      <c r="O63" s="124"/>
      <c r="P63" s="141"/>
      <c r="Q63" s="141"/>
      <c r="R63" s="124">
        <f>D63</f>
        <v>0.25</v>
      </c>
      <c r="S63" s="141"/>
      <c r="T63" s="124"/>
      <c r="U63" s="141"/>
      <c r="V63" s="124"/>
      <c r="W63" s="141"/>
      <c r="X63" s="141"/>
      <c r="Y63" s="124">
        <f>K63</f>
        <v>0.25</v>
      </c>
      <c r="Z63" s="141"/>
      <c r="AA63" s="124"/>
      <c r="AB63" s="141"/>
      <c r="AC63" s="124"/>
      <c r="AD63" s="141"/>
      <c r="AE63" s="141"/>
      <c r="AF63" s="124">
        <f>R63</f>
        <v>0.25</v>
      </c>
      <c r="AG63" s="141"/>
      <c r="AH63" s="124"/>
      <c r="AI63" s="141"/>
      <c r="AJ63" s="124"/>
      <c r="AK63" s="141"/>
      <c r="AL63" s="141"/>
      <c r="AM63" s="124">
        <f>Y63</f>
        <v>0.25</v>
      </c>
      <c r="AN63" s="141"/>
      <c r="AO63" s="124"/>
      <c r="AP63" s="141"/>
      <c r="AQ63" s="124"/>
      <c r="AR63" s="141"/>
      <c r="AS63" s="141"/>
      <c r="AT63" s="409" t="str">
        <f>4!AV67</f>
        <v>Обеспечения качества электроснабжения населения</v>
      </c>
    </row>
    <row r="64" spans="1:46" s="5" customFormat="1" ht="47.25">
      <c r="A64" s="509" t="str">
        <f>1!A66</f>
        <v>1.4.2.13</v>
      </c>
      <c r="B64" s="170" t="str">
        <f>1!B66</f>
        <v>Строительство ВЛ-0,4 кВ от КТП-233 до ВРУ магазина ул.Вокзальная, 46А, п.Иноземцево, L= 0,408 км (СИП-2 3х50+1х54,6)</v>
      </c>
      <c r="C64" s="506" t="str">
        <f>1!C66</f>
        <v>G_Gelezno_ТР13</v>
      </c>
      <c r="D64" s="141"/>
      <c r="E64" s="141"/>
      <c r="F64" s="127">
        <f>4!J68</f>
        <v>0.408</v>
      </c>
      <c r="G64" s="141"/>
      <c r="H64" s="124"/>
      <c r="I64" s="141"/>
      <c r="J64" s="141"/>
      <c r="K64" s="141"/>
      <c r="L64" s="141"/>
      <c r="M64" s="124">
        <f>4!Q68</f>
        <v>0.408</v>
      </c>
      <c r="N64" s="141"/>
      <c r="O64" s="124"/>
      <c r="P64" s="141"/>
      <c r="Q64" s="141"/>
      <c r="R64" s="141"/>
      <c r="S64" s="141"/>
      <c r="T64" s="124">
        <f>F64</f>
        <v>0.408</v>
      </c>
      <c r="U64" s="141"/>
      <c r="V64" s="124"/>
      <c r="W64" s="141"/>
      <c r="X64" s="141"/>
      <c r="Y64" s="141"/>
      <c r="Z64" s="141"/>
      <c r="AA64" s="124">
        <f>M64</f>
        <v>0.408</v>
      </c>
      <c r="AB64" s="141"/>
      <c r="AC64" s="124"/>
      <c r="AD64" s="141"/>
      <c r="AE64" s="141"/>
      <c r="AF64" s="141"/>
      <c r="AG64" s="141"/>
      <c r="AH64" s="124">
        <f>T64</f>
        <v>0.408</v>
      </c>
      <c r="AI64" s="141"/>
      <c r="AJ64" s="124"/>
      <c r="AK64" s="141"/>
      <c r="AL64" s="141"/>
      <c r="AM64" s="141"/>
      <c r="AN64" s="141"/>
      <c r="AO64" s="124">
        <f>AA64</f>
        <v>0.408</v>
      </c>
      <c r="AP64" s="141"/>
      <c r="AQ64" s="124"/>
      <c r="AR64" s="141"/>
      <c r="AS64" s="141"/>
      <c r="AT64" s="409" t="str">
        <f>4!AV68</f>
        <v>Обеспечения качества электроснабжения населения</v>
      </c>
    </row>
    <row r="65" spans="1:46" s="5" customFormat="1" ht="47.25">
      <c r="A65" s="509" t="str">
        <f>1!A67</f>
        <v>1.4.2.14</v>
      </c>
      <c r="B65" s="170" t="str">
        <f>1!B67</f>
        <v>Строительство ВЛ-0,4 кВ от РУ-0,4кВ ТП-75 (С-1) по ул.Ленина район дома 123, г.Железноводск, L= 0,143 км (СИП-2 3х50+1х54,6)</v>
      </c>
      <c r="C65" s="506" t="str">
        <f>1!C67</f>
        <v>G_Gelezno_ТР14</v>
      </c>
      <c r="D65" s="141"/>
      <c r="E65" s="141"/>
      <c r="F65" s="127">
        <f>4!J69</f>
        <v>0.143</v>
      </c>
      <c r="G65" s="141"/>
      <c r="H65" s="124"/>
      <c r="I65" s="141"/>
      <c r="J65" s="141"/>
      <c r="K65" s="141"/>
      <c r="L65" s="141"/>
      <c r="M65" s="124">
        <f>4!Q69</f>
        <v>0.143</v>
      </c>
      <c r="N65" s="141"/>
      <c r="O65" s="124"/>
      <c r="P65" s="141"/>
      <c r="Q65" s="141"/>
      <c r="R65" s="141"/>
      <c r="S65" s="141"/>
      <c r="T65" s="124">
        <f>F65</f>
        <v>0.143</v>
      </c>
      <c r="U65" s="141"/>
      <c r="V65" s="124"/>
      <c r="W65" s="141"/>
      <c r="X65" s="141"/>
      <c r="Y65" s="141"/>
      <c r="Z65" s="141"/>
      <c r="AA65" s="124">
        <f>M65</f>
        <v>0.143</v>
      </c>
      <c r="AB65" s="141"/>
      <c r="AC65" s="124"/>
      <c r="AD65" s="141"/>
      <c r="AE65" s="141"/>
      <c r="AF65" s="141"/>
      <c r="AG65" s="141"/>
      <c r="AH65" s="124">
        <f>T65</f>
        <v>0.143</v>
      </c>
      <c r="AI65" s="141"/>
      <c r="AJ65" s="124"/>
      <c r="AK65" s="141"/>
      <c r="AL65" s="141"/>
      <c r="AM65" s="141"/>
      <c r="AN65" s="141"/>
      <c r="AO65" s="124">
        <f>AA65</f>
        <v>0.143</v>
      </c>
      <c r="AP65" s="141"/>
      <c r="AQ65" s="124"/>
      <c r="AR65" s="141"/>
      <c r="AS65" s="141"/>
      <c r="AT65" s="409" t="str">
        <f>4!AV69</f>
        <v>Обеспечения качества электроснабжения населения</v>
      </c>
    </row>
    <row r="66" spans="1:46" s="5" customFormat="1" ht="47.25">
      <c r="A66" s="509" t="str">
        <f>1!A68</f>
        <v>1.4.2.15</v>
      </c>
      <c r="B66" s="170" t="str">
        <f>1!B68</f>
        <v>Строительство ВЛ-0,4кВ от РУ-0,4 кВ ТП-75 (С-2) по ул.Ленина район дома 123, г.Железноводск, L= 0,143 км (СИП-2 3х50+1х54,6)</v>
      </c>
      <c r="C66" s="506" t="str">
        <f>1!C68</f>
        <v>G_Gelezno_ТР15</v>
      </c>
      <c r="D66" s="141"/>
      <c r="E66" s="141"/>
      <c r="F66" s="127">
        <f>4!J70</f>
        <v>0.143</v>
      </c>
      <c r="G66" s="141"/>
      <c r="H66" s="124"/>
      <c r="I66" s="141"/>
      <c r="J66" s="141"/>
      <c r="K66" s="141"/>
      <c r="L66" s="141"/>
      <c r="M66" s="124">
        <f>4!Q70</f>
        <v>0.143</v>
      </c>
      <c r="N66" s="141"/>
      <c r="O66" s="124"/>
      <c r="P66" s="141"/>
      <c r="Q66" s="141"/>
      <c r="R66" s="141"/>
      <c r="S66" s="141"/>
      <c r="T66" s="124">
        <f>F66</f>
        <v>0.143</v>
      </c>
      <c r="U66" s="141"/>
      <c r="V66" s="124"/>
      <c r="W66" s="141"/>
      <c r="X66" s="141"/>
      <c r="Y66" s="141"/>
      <c r="Z66" s="141"/>
      <c r="AA66" s="124">
        <f>M66</f>
        <v>0.143</v>
      </c>
      <c r="AB66" s="141"/>
      <c r="AC66" s="124"/>
      <c r="AD66" s="141"/>
      <c r="AE66" s="141"/>
      <c r="AF66" s="141"/>
      <c r="AG66" s="141"/>
      <c r="AH66" s="124">
        <f>T66</f>
        <v>0.143</v>
      </c>
      <c r="AI66" s="141"/>
      <c r="AJ66" s="124"/>
      <c r="AK66" s="141"/>
      <c r="AL66" s="141"/>
      <c r="AM66" s="141"/>
      <c r="AN66" s="141"/>
      <c r="AO66" s="124">
        <f>AA66</f>
        <v>0.143</v>
      </c>
      <c r="AP66" s="141"/>
      <c r="AQ66" s="124"/>
      <c r="AR66" s="141"/>
      <c r="AS66" s="141"/>
      <c r="AT66" s="409" t="str">
        <f>4!AV70</f>
        <v>Обеспечения качества электроснабжения населения</v>
      </c>
    </row>
    <row r="67" spans="1:46" s="5" customFormat="1" ht="31.5">
      <c r="A67" s="509" t="str">
        <f>1!A69</f>
        <v>1.4.2.16</v>
      </c>
      <c r="B67" s="170" t="str">
        <f>1!B69</f>
        <v>Строительство КЛ-0,4 кВ от ВРУ-1 до ВРУ-2 в ЖК "Вишнёвый сад" (2-ая очередь), п.Иноземцево, L= 0,04 км (АВБбШв 4х120)</v>
      </c>
      <c r="C67" s="506" t="str">
        <f>1!C69</f>
        <v>G_Gelezno_ТР16</v>
      </c>
      <c r="D67" s="141"/>
      <c r="E67" s="141"/>
      <c r="F67" s="127"/>
      <c r="G67" s="141"/>
      <c r="H67" s="124">
        <f>4!J71</f>
        <v>0.04</v>
      </c>
      <c r="I67" s="141"/>
      <c r="J67" s="141"/>
      <c r="K67" s="141"/>
      <c r="L67" s="141"/>
      <c r="M67" s="124"/>
      <c r="N67" s="141"/>
      <c r="O67" s="124">
        <f>4!Q71</f>
        <v>0.04</v>
      </c>
      <c r="P67" s="141"/>
      <c r="Q67" s="141"/>
      <c r="R67" s="141"/>
      <c r="S67" s="141"/>
      <c r="T67" s="124"/>
      <c r="U67" s="141"/>
      <c r="V67" s="124">
        <f t="shared" si="30"/>
        <v>0.04</v>
      </c>
      <c r="W67" s="141"/>
      <c r="X67" s="141"/>
      <c r="Y67" s="141"/>
      <c r="Z67" s="141"/>
      <c r="AA67" s="124"/>
      <c r="AB67" s="141"/>
      <c r="AC67" s="124">
        <f aca="true" t="shared" si="31" ref="AC67:AC86">O67</f>
        <v>0.04</v>
      </c>
      <c r="AD67" s="141"/>
      <c r="AE67" s="141"/>
      <c r="AF67" s="141"/>
      <c r="AG67" s="141"/>
      <c r="AH67" s="124"/>
      <c r="AI67" s="141"/>
      <c r="AJ67" s="124">
        <f aca="true" t="shared" si="32" ref="AJ67:AJ86">V67</f>
        <v>0.04</v>
      </c>
      <c r="AK67" s="141"/>
      <c r="AL67" s="141"/>
      <c r="AM67" s="141"/>
      <c r="AN67" s="141"/>
      <c r="AO67" s="124"/>
      <c r="AP67" s="141"/>
      <c r="AQ67" s="124">
        <f aca="true" t="shared" si="33" ref="AQ67:AQ86">AC67</f>
        <v>0.04</v>
      </c>
      <c r="AR67" s="141"/>
      <c r="AS67" s="141"/>
      <c r="AT67" s="409" t="str">
        <f>4!AV71</f>
        <v>Обеспечения качества электроснабжения населения</v>
      </c>
    </row>
    <row r="68" spans="1:46" s="5" customFormat="1" ht="31.5">
      <c r="A68" s="509" t="str">
        <f>1!A70</f>
        <v>1.4.2.17</v>
      </c>
      <c r="B68" s="170" t="str">
        <f>1!B70</f>
        <v>Строительство КЛ-0,4кВ от ВРУ-11 до ВРУ-12 в ЖК"Вишнёвый сад" (2-ая очередь), п.Иноземцево, L= 0,035 км (АВБбШв 4х95)</v>
      </c>
      <c r="C68" s="506" t="str">
        <f>1!C70</f>
        <v>G_Gelezno_ТР17</v>
      </c>
      <c r="D68" s="141"/>
      <c r="E68" s="141"/>
      <c r="F68" s="127"/>
      <c r="G68" s="141"/>
      <c r="H68" s="124">
        <f>4!J72</f>
        <v>0.035</v>
      </c>
      <c r="I68" s="141"/>
      <c r="J68" s="141"/>
      <c r="K68" s="141"/>
      <c r="L68" s="141"/>
      <c r="M68" s="124"/>
      <c r="N68" s="141"/>
      <c r="O68" s="124">
        <f>4!Q72</f>
        <v>0.035</v>
      </c>
      <c r="P68" s="141"/>
      <c r="Q68" s="141"/>
      <c r="R68" s="141"/>
      <c r="S68" s="141"/>
      <c r="T68" s="124"/>
      <c r="U68" s="141"/>
      <c r="V68" s="124">
        <f t="shared" si="30"/>
        <v>0.035</v>
      </c>
      <c r="W68" s="141"/>
      <c r="X68" s="141"/>
      <c r="Y68" s="141"/>
      <c r="Z68" s="141"/>
      <c r="AA68" s="124"/>
      <c r="AB68" s="141"/>
      <c r="AC68" s="124">
        <f t="shared" si="31"/>
        <v>0.035</v>
      </c>
      <c r="AD68" s="141"/>
      <c r="AE68" s="141"/>
      <c r="AF68" s="141"/>
      <c r="AG68" s="141"/>
      <c r="AH68" s="124"/>
      <c r="AI68" s="141"/>
      <c r="AJ68" s="124">
        <f t="shared" si="32"/>
        <v>0.035</v>
      </c>
      <c r="AK68" s="141"/>
      <c r="AL68" s="141"/>
      <c r="AM68" s="141"/>
      <c r="AN68" s="141"/>
      <c r="AO68" s="124"/>
      <c r="AP68" s="141"/>
      <c r="AQ68" s="124">
        <f t="shared" si="33"/>
        <v>0.035</v>
      </c>
      <c r="AR68" s="141"/>
      <c r="AS68" s="141"/>
      <c r="AT68" s="409" t="str">
        <f>4!AV72</f>
        <v>Обеспечения качества электроснабжения населения</v>
      </c>
    </row>
    <row r="69" spans="1:46" s="5" customFormat="1" ht="31.5">
      <c r="A69" s="509" t="str">
        <f>1!A71</f>
        <v>1.4.2.18</v>
      </c>
      <c r="B69" s="170" t="str">
        <f>1!B71</f>
        <v>Строительство КЛ-0,4кВ от ВРУ-13 до ВРУ-14 в ЖК"Вишнёвый сад" (2-ая очередь), п.Иноземцево, L= 0,035 км (АВБбШв 4х95)</v>
      </c>
      <c r="C69" s="506" t="str">
        <f>1!C71</f>
        <v>G_Gelezno_ТР18</v>
      </c>
      <c r="D69" s="141"/>
      <c r="E69" s="141"/>
      <c r="F69" s="127"/>
      <c r="G69" s="141"/>
      <c r="H69" s="124">
        <f>4!J73</f>
        <v>0.035</v>
      </c>
      <c r="I69" s="141"/>
      <c r="J69" s="141"/>
      <c r="K69" s="141"/>
      <c r="L69" s="141"/>
      <c r="M69" s="124"/>
      <c r="N69" s="141"/>
      <c r="O69" s="124">
        <f>4!Q73</f>
        <v>0.035</v>
      </c>
      <c r="P69" s="141"/>
      <c r="Q69" s="141"/>
      <c r="R69" s="141"/>
      <c r="S69" s="141"/>
      <c r="T69" s="124"/>
      <c r="U69" s="141"/>
      <c r="V69" s="124">
        <f t="shared" si="30"/>
        <v>0.035</v>
      </c>
      <c r="W69" s="141"/>
      <c r="X69" s="141"/>
      <c r="Y69" s="141"/>
      <c r="Z69" s="141"/>
      <c r="AA69" s="124"/>
      <c r="AB69" s="141"/>
      <c r="AC69" s="124">
        <f t="shared" si="31"/>
        <v>0.035</v>
      </c>
      <c r="AD69" s="141"/>
      <c r="AE69" s="141"/>
      <c r="AF69" s="141"/>
      <c r="AG69" s="141"/>
      <c r="AH69" s="124"/>
      <c r="AI69" s="141"/>
      <c r="AJ69" s="124">
        <f t="shared" si="32"/>
        <v>0.035</v>
      </c>
      <c r="AK69" s="141"/>
      <c r="AL69" s="141"/>
      <c r="AM69" s="141"/>
      <c r="AN69" s="141"/>
      <c r="AO69" s="124"/>
      <c r="AP69" s="141"/>
      <c r="AQ69" s="124">
        <f t="shared" si="33"/>
        <v>0.035</v>
      </c>
      <c r="AR69" s="141"/>
      <c r="AS69" s="141"/>
      <c r="AT69" s="409" t="str">
        <f>4!AV73</f>
        <v>Обеспечения качества электроснабжения населения</v>
      </c>
    </row>
    <row r="70" spans="1:46" s="5" customFormat="1" ht="31.5">
      <c r="A70" s="509" t="str">
        <f>1!A72</f>
        <v>1.4.2.19</v>
      </c>
      <c r="B70" s="170" t="str">
        <f>1!B72</f>
        <v>Строительство КЛ-0,4 кВ от ВРУ-9 до ВРУ-10 в ЖК "Вишнёвый сад" (2-ая очередь), п.Иноземцево, L= 0,035 км (АВБбШв 4х95)</v>
      </c>
      <c r="C70" s="506" t="str">
        <f>1!C72</f>
        <v>G_Gelezno_ТР19</v>
      </c>
      <c r="D70" s="141"/>
      <c r="E70" s="141"/>
      <c r="F70" s="127"/>
      <c r="G70" s="141"/>
      <c r="H70" s="124">
        <f>4!J74</f>
        <v>0.035</v>
      </c>
      <c r="I70" s="141"/>
      <c r="J70" s="141"/>
      <c r="K70" s="141"/>
      <c r="L70" s="141"/>
      <c r="M70" s="124"/>
      <c r="N70" s="141"/>
      <c r="O70" s="124">
        <f>4!Q74</f>
        <v>0.035</v>
      </c>
      <c r="P70" s="141"/>
      <c r="Q70" s="141"/>
      <c r="R70" s="141"/>
      <c r="S70" s="141"/>
      <c r="T70" s="124"/>
      <c r="U70" s="141"/>
      <c r="V70" s="124">
        <f t="shared" si="30"/>
        <v>0.035</v>
      </c>
      <c r="W70" s="141"/>
      <c r="X70" s="141"/>
      <c r="Y70" s="141"/>
      <c r="Z70" s="141"/>
      <c r="AA70" s="124"/>
      <c r="AB70" s="141"/>
      <c r="AC70" s="124">
        <f t="shared" si="31"/>
        <v>0.035</v>
      </c>
      <c r="AD70" s="141"/>
      <c r="AE70" s="141"/>
      <c r="AF70" s="141"/>
      <c r="AG70" s="141"/>
      <c r="AH70" s="124"/>
      <c r="AI70" s="141"/>
      <c r="AJ70" s="124">
        <f t="shared" si="32"/>
        <v>0.035</v>
      </c>
      <c r="AK70" s="141"/>
      <c r="AL70" s="141"/>
      <c r="AM70" s="141"/>
      <c r="AN70" s="141"/>
      <c r="AO70" s="124"/>
      <c r="AP70" s="141"/>
      <c r="AQ70" s="124">
        <f t="shared" si="33"/>
        <v>0.035</v>
      </c>
      <c r="AR70" s="141"/>
      <c r="AS70" s="141"/>
      <c r="AT70" s="409" t="str">
        <f>4!AV74</f>
        <v>Обеспечения качества электроснабжения населения</v>
      </c>
    </row>
    <row r="71" spans="1:46" s="5" customFormat="1" ht="47.25">
      <c r="A71" s="509" t="str">
        <f>1!A73</f>
        <v>1.4.2.20</v>
      </c>
      <c r="B71" s="170" t="str">
        <f>1!B73</f>
        <v>Строительство КЛ-0,4 кВ от РУ-0,4 кВ 2КТП-244 до ВРУ-10 в ЖК "Вишнёвый сад" (2-ая очередь), п.Иноземцево, L= 0,19 км (АВБбШв 4х120)</v>
      </c>
      <c r="C71" s="506" t="str">
        <f>1!C73</f>
        <v>G_Gelezno_ТР20</v>
      </c>
      <c r="D71" s="141"/>
      <c r="E71" s="141"/>
      <c r="F71" s="127"/>
      <c r="G71" s="141"/>
      <c r="H71" s="124">
        <f>4!J75</f>
        <v>0.19</v>
      </c>
      <c r="I71" s="141"/>
      <c r="J71" s="141"/>
      <c r="K71" s="141"/>
      <c r="L71" s="141"/>
      <c r="M71" s="124"/>
      <c r="N71" s="141"/>
      <c r="O71" s="124">
        <f>4!Q75</f>
        <v>0.19</v>
      </c>
      <c r="P71" s="141"/>
      <c r="Q71" s="141"/>
      <c r="R71" s="141"/>
      <c r="S71" s="141"/>
      <c r="T71" s="124"/>
      <c r="U71" s="141"/>
      <c r="V71" s="124">
        <f t="shared" si="30"/>
        <v>0.19</v>
      </c>
      <c r="W71" s="141"/>
      <c r="X71" s="141"/>
      <c r="Y71" s="141"/>
      <c r="Z71" s="141"/>
      <c r="AA71" s="124"/>
      <c r="AB71" s="141"/>
      <c r="AC71" s="124">
        <f t="shared" si="31"/>
        <v>0.19</v>
      </c>
      <c r="AD71" s="141"/>
      <c r="AE71" s="141"/>
      <c r="AF71" s="141"/>
      <c r="AG71" s="141"/>
      <c r="AH71" s="124"/>
      <c r="AI71" s="141"/>
      <c r="AJ71" s="124">
        <f t="shared" si="32"/>
        <v>0.19</v>
      </c>
      <c r="AK71" s="141"/>
      <c r="AL71" s="141"/>
      <c r="AM71" s="141"/>
      <c r="AN71" s="141"/>
      <c r="AO71" s="124"/>
      <c r="AP71" s="141"/>
      <c r="AQ71" s="124">
        <f t="shared" si="33"/>
        <v>0.19</v>
      </c>
      <c r="AR71" s="141"/>
      <c r="AS71" s="141"/>
      <c r="AT71" s="409" t="str">
        <f>4!AV75</f>
        <v>Обеспечения качества электроснабжения населения</v>
      </c>
    </row>
    <row r="72" spans="1:46" s="5" customFormat="1" ht="47.25">
      <c r="A72" s="509" t="str">
        <f>1!A74</f>
        <v>1.4.2.21</v>
      </c>
      <c r="B72" s="170" t="str">
        <f>1!B74</f>
        <v>Строительство КЛ-0,4 кВ от РУ-0,4 кВ 2КТП-244 до ВРУ-11 в ЖК "Вишнёвый сад" (2-ая очередь), п.Иноземцево, L= 0,14 км (АВБбШв 4х95)</v>
      </c>
      <c r="C72" s="506" t="str">
        <f>1!C74</f>
        <v>G_Gelezno_ТР21</v>
      </c>
      <c r="D72" s="141"/>
      <c r="E72" s="141"/>
      <c r="F72" s="127"/>
      <c r="G72" s="141"/>
      <c r="H72" s="124">
        <f>4!J76</f>
        <v>0.14</v>
      </c>
      <c r="I72" s="141"/>
      <c r="J72" s="141"/>
      <c r="K72" s="141"/>
      <c r="L72" s="141"/>
      <c r="M72" s="124"/>
      <c r="N72" s="141"/>
      <c r="O72" s="124">
        <f>4!Q76</f>
        <v>0.14</v>
      </c>
      <c r="P72" s="141"/>
      <c r="Q72" s="141"/>
      <c r="R72" s="141"/>
      <c r="S72" s="141"/>
      <c r="T72" s="124"/>
      <c r="U72" s="141"/>
      <c r="V72" s="124">
        <f t="shared" si="30"/>
        <v>0.14</v>
      </c>
      <c r="W72" s="141"/>
      <c r="X72" s="141"/>
      <c r="Y72" s="141"/>
      <c r="Z72" s="141"/>
      <c r="AA72" s="124"/>
      <c r="AB72" s="141"/>
      <c r="AC72" s="124">
        <f t="shared" si="31"/>
        <v>0.14</v>
      </c>
      <c r="AD72" s="141"/>
      <c r="AE72" s="141"/>
      <c r="AF72" s="141"/>
      <c r="AG72" s="141"/>
      <c r="AH72" s="124"/>
      <c r="AI72" s="141"/>
      <c r="AJ72" s="124">
        <f t="shared" si="32"/>
        <v>0.14</v>
      </c>
      <c r="AK72" s="141"/>
      <c r="AL72" s="141"/>
      <c r="AM72" s="141"/>
      <c r="AN72" s="141"/>
      <c r="AO72" s="124"/>
      <c r="AP72" s="141"/>
      <c r="AQ72" s="124">
        <f t="shared" si="33"/>
        <v>0.14</v>
      </c>
      <c r="AR72" s="141"/>
      <c r="AS72" s="141"/>
      <c r="AT72" s="409" t="str">
        <f>4!AV76</f>
        <v>Обеспечения качества электроснабжения населения</v>
      </c>
    </row>
    <row r="73" spans="1:46" s="5" customFormat="1" ht="47.25">
      <c r="A73" s="509" t="str">
        <f>1!A75</f>
        <v>1.4.2.22</v>
      </c>
      <c r="B73" s="170" t="str">
        <f>1!B75</f>
        <v>Строительство КЛ-0,4 кВ от РУ-0,4 кВ 2КТП-244 до ВРУ-13 в ЖК "Вишнёвый сад" (2-ая очередь), п.Иноземцево, L= 0,06 км (АВБбШв 4х120)</v>
      </c>
      <c r="C73" s="506" t="str">
        <f>1!C75</f>
        <v>G_Gelezno_ТР22</v>
      </c>
      <c r="D73" s="141"/>
      <c r="E73" s="141"/>
      <c r="F73" s="127"/>
      <c r="G73" s="141"/>
      <c r="H73" s="124">
        <f>4!J77</f>
        <v>0.06</v>
      </c>
      <c r="I73" s="141"/>
      <c r="J73" s="141"/>
      <c r="K73" s="141"/>
      <c r="L73" s="141"/>
      <c r="M73" s="124"/>
      <c r="N73" s="141"/>
      <c r="O73" s="124">
        <f>4!Q77</f>
        <v>0.06</v>
      </c>
      <c r="P73" s="141"/>
      <c r="Q73" s="141"/>
      <c r="R73" s="141"/>
      <c r="S73" s="141"/>
      <c r="T73" s="124"/>
      <c r="U73" s="141"/>
      <c r="V73" s="124">
        <f t="shared" si="30"/>
        <v>0.06</v>
      </c>
      <c r="W73" s="141"/>
      <c r="X73" s="141"/>
      <c r="Y73" s="141"/>
      <c r="Z73" s="141"/>
      <c r="AA73" s="124"/>
      <c r="AB73" s="141"/>
      <c r="AC73" s="124">
        <f t="shared" si="31"/>
        <v>0.06</v>
      </c>
      <c r="AD73" s="141"/>
      <c r="AE73" s="141"/>
      <c r="AF73" s="141"/>
      <c r="AG73" s="141"/>
      <c r="AH73" s="124"/>
      <c r="AI73" s="141"/>
      <c r="AJ73" s="124">
        <f t="shared" si="32"/>
        <v>0.06</v>
      </c>
      <c r="AK73" s="141"/>
      <c r="AL73" s="141"/>
      <c r="AM73" s="141"/>
      <c r="AN73" s="141"/>
      <c r="AO73" s="124"/>
      <c r="AP73" s="141"/>
      <c r="AQ73" s="124">
        <f t="shared" si="33"/>
        <v>0.06</v>
      </c>
      <c r="AR73" s="141"/>
      <c r="AS73" s="141"/>
      <c r="AT73" s="409" t="str">
        <f>4!AV77</f>
        <v>Обеспечения качества электроснабжения населения</v>
      </c>
    </row>
    <row r="74" spans="1:46" s="5" customFormat="1" ht="47.25">
      <c r="A74" s="509" t="str">
        <f>1!A76</f>
        <v>1.4.2.23</v>
      </c>
      <c r="B74" s="170" t="str">
        <f>1!B76</f>
        <v>Строительство КЛ-0,4 кВ от РУ-0,4 кВ 2КТП-244 до ВРУ-14 в ЖК "Вишнёвый сад" (2-ая очередь), п.Иноземцево, L= 0,1 км (АВБбШв 4х120)</v>
      </c>
      <c r="C74" s="506" t="str">
        <f>1!C76</f>
        <v>G_Gelezno_ТР23</v>
      </c>
      <c r="D74" s="141"/>
      <c r="E74" s="141"/>
      <c r="F74" s="127"/>
      <c r="G74" s="141"/>
      <c r="H74" s="124">
        <f>4!J78</f>
        <v>0.1</v>
      </c>
      <c r="I74" s="141"/>
      <c r="J74" s="141"/>
      <c r="K74" s="141"/>
      <c r="L74" s="141"/>
      <c r="M74" s="124"/>
      <c r="N74" s="141"/>
      <c r="O74" s="124">
        <f>4!Q78</f>
        <v>0.1</v>
      </c>
      <c r="P74" s="141"/>
      <c r="Q74" s="141"/>
      <c r="R74" s="141"/>
      <c r="S74" s="141"/>
      <c r="T74" s="124"/>
      <c r="U74" s="141"/>
      <c r="V74" s="124">
        <f t="shared" si="30"/>
        <v>0.1</v>
      </c>
      <c r="W74" s="141"/>
      <c r="X74" s="141"/>
      <c r="Y74" s="141"/>
      <c r="Z74" s="141"/>
      <c r="AA74" s="124"/>
      <c r="AB74" s="141"/>
      <c r="AC74" s="124">
        <f t="shared" si="31"/>
        <v>0.1</v>
      </c>
      <c r="AD74" s="141"/>
      <c r="AE74" s="141"/>
      <c r="AF74" s="141"/>
      <c r="AG74" s="141"/>
      <c r="AH74" s="124"/>
      <c r="AI74" s="141"/>
      <c r="AJ74" s="124">
        <f t="shared" si="32"/>
        <v>0.1</v>
      </c>
      <c r="AK74" s="141"/>
      <c r="AL74" s="141"/>
      <c r="AM74" s="141"/>
      <c r="AN74" s="141"/>
      <c r="AO74" s="124"/>
      <c r="AP74" s="141"/>
      <c r="AQ74" s="124">
        <f t="shared" si="33"/>
        <v>0.1</v>
      </c>
      <c r="AR74" s="141"/>
      <c r="AS74" s="141"/>
      <c r="AT74" s="409" t="str">
        <f>4!AV78</f>
        <v>Обеспечения качества электроснабжения населения</v>
      </c>
    </row>
    <row r="75" spans="1:46" s="5" customFormat="1" ht="47.25">
      <c r="A75" s="509" t="str">
        <f>1!A77</f>
        <v>1.4.2.24</v>
      </c>
      <c r="B75" s="170" t="str">
        <f>1!B77</f>
        <v>Строительство КЛ-0,4 кВ от РУ-0,4 кВ 2КТП-244 до ВРУ-16 в ЖК "Вишнёвый сад" (2-ая очередь), п.Иноземцево, L= 0,11 км (АВБбШв 4х95)</v>
      </c>
      <c r="C75" s="506" t="str">
        <f>1!C77</f>
        <v>G_Gelezno_ТР24</v>
      </c>
      <c r="D75" s="141"/>
      <c r="E75" s="141"/>
      <c r="F75" s="127"/>
      <c r="G75" s="141"/>
      <c r="H75" s="124">
        <f>4!J79</f>
        <v>0.11</v>
      </c>
      <c r="I75" s="141"/>
      <c r="J75" s="141"/>
      <c r="K75" s="141"/>
      <c r="L75" s="141"/>
      <c r="M75" s="124"/>
      <c r="N75" s="141"/>
      <c r="O75" s="124">
        <f>4!Q79</f>
        <v>0.11</v>
      </c>
      <c r="P75" s="141"/>
      <c r="Q75" s="141"/>
      <c r="R75" s="141"/>
      <c r="S75" s="141"/>
      <c r="T75" s="124"/>
      <c r="U75" s="141"/>
      <c r="V75" s="124">
        <f t="shared" si="30"/>
        <v>0.11</v>
      </c>
      <c r="W75" s="141"/>
      <c r="X75" s="141"/>
      <c r="Y75" s="141"/>
      <c r="Z75" s="141"/>
      <c r="AA75" s="124"/>
      <c r="AB75" s="141"/>
      <c r="AC75" s="124">
        <f t="shared" si="31"/>
        <v>0.11</v>
      </c>
      <c r="AD75" s="141"/>
      <c r="AE75" s="141"/>
      <c r="AF75" s="141"/>
      <c r="AG75" s="141"/>
      <c r="AH75" s="124"/>
      <c r="AI75" s="141"/>
      <c r="AJ75" s="124">
        <f t="shared" si="32"/>
        <v>0.11</v>
      </c>
      <c r="AK75" s="141"/>
      <c r="AL75" s="141"/>
      <c r="AM75" s="141"/>
      <c r="AN75" s="141"/>
      <c r="AO75" s="124"/>
      <c r="AP75" s="141"/>
      <c r="AQ75" s="124">
        <f t="shared" si="33"/>
        <v>0.11</v>
      </c>
      <c r="AR75" s="141"/>
      <c r="AS75" s="141"/>
      <c r="AT75" s="409" t="str">
        <f>4!AV79</f>
        <v>Обеспечения качества электроснабжения населения</v>
      </c>
    </row>
    <row r="76" spans="1:46" s="5" customFormat="1" ht="47.25">
      <c r="A76" s="509" t="str">
        <f>1!A78</f>
        <v>1.4.2.25</v>
      </c>
      <c r="B76" s="170" t="str">
        <f>1!B78</f>
        <v>Строительство КЛ-0,4 кВ от РУ-0,4 кВ 2КТП-244 до ВРУ-9 в ЖК "Вишнёвый сад" (2-ая очередь), п.Иноземцево, L= 0,215 км (АВБбШв 4х120)</v>
      </c>
      <c r="C76" s="506" t="str">
        <f>1!C78</f>
        <v>G_Gelezno_ТР25</v>
      </c>
      <c r="D76" s="141"/>
      <c r="E76" s="141"/>
      <c r="F76" s="127"/>
      <c r="G76" s="141"/>
      <c r="H76" s="124">
        <f>4!J80</f>
        <v>0.215</v>
      </c>
      <c r="I76" s="141"/>
      <c r="J76" s="141"/>
      <c r="K76" s="141"/>
      <c r="L76" s="141"/>
      <c r="M76" s="124"/>
      <c r="N76" s="141"/>
      <c r="O76" s="124">
        <f>4!Q80</f>
        <v>0.215</v>
      </c>
      <c r="P76" s="141"/>
      <c r="Q76" s="141"/>
      <c r="R76" s="141"/>
      <c r="S76" s="141"/>
      <c r="T76" s="124"/>
      <c r="U76" s="141"/>
      <c r="V76" s="124">
        <f t="shared" si="30"/>
        <v>0.215</v>
      </c>
      <c r="W76" s="141"/>
      <c r="X76" s="141"/>
      <c r="Y76" s="141"/>
      <c r="Z76" s="141"/>
      <c r="AA76" s="124"/>
      <c r="AB76" s="141"/>
      <c r="AC76" s="124">
        <f t="shared" si="31"/>
        <v>0.215</v>
      </c>
      <c r="AD76" s="141"/>
      <c r="AE76" s="141"/>
      <c r="AF76" s="141"/>
      <c r="AG76" s="141"/>
      <c r="AH76" s="124"/>
      <c r="AI76" s="141"/>
      <c r="AJ76" s="124">
        <f t="shared" si="32"/>
        <v>0.215</v>
      </c>
      <c r="AK76" s="141"/>
      <c r="AL76" s="141"/>
      <c r="AM76" s="141"/>
      <c r="AN76" s="141"/>
      <c r="AO76" s="124"/>
      <c r="AP76" s="141"/>
      <c r="AQ76" s="124">
        <f t="shared" si="33"/>
        <v>0.215</v>
      </c>
      <c r="AR76" s="141"/>
      <c r="AS76" s="141"/>
      <c r="AT76" s="409" t="str">
        <f>4!AV80</f>
        <v>Обеспечения качества электроснабжения населения</v>
      </c>
    </row>
    <row r="77" spans="1:46" s="5" customFormat="1" ht="31.5">
      <c r="A77" s="509" t="str">
        <f>1!A79</f>
        <v>1.4.2.26</v>
      </c>
      <c r="B77" s="170" t="str">
        <f>1!B79</f>
        <v>Строительство КЛ-0,4 кВ от ВРУ-1 МКЖД до ВРУ-2 МКЖД ул.Тихая,8, п.Иноземцево, L= 0,071 км (АВВГ 4х35)</v>
      </c>
      <c r="C77" s="506" t="str">
        <f>1!C79</f>
        <v>G_Gelezno_ТР26</v>
      </c>
      <c r="D77" s="141"/>
      <c r="E77" s="141"/>
      <c r="F77" s="127"/>
      <c r="G77" s="141"/>
      <c r="H77" s="124">
        <f>4!J81</f>
        <v>0.071</v>
      </c>
      <c r="I77" s="141"/>
      <c r="J77" s="141"/>
      <c r="K77" s="141"/>
      <c r="L77" s="141"/>
      <c r="M77" s="124"/>
      <c r="N77" s="141"/>
      <c r="O77" s="124">
        <f>4!Q81</f>
        <v>0.071</v>
      </c>
      <c r="P77" s="141"/>
      <c r="Q77" s="141"/>
      <c r="R77" s="141"/>
      <c r="S77" s="141"/>
      <c r="T77" s="124"/>
      <c r="U77" s="141"/>
      <c r="V77" s="124">
        <f t="shared" si="30"/>
        <v>0.071</v>
      </c>
      <c r="W77" s="141"/>
      <c r="X77" s="141"/>
      <c r="Y77" s="141"/>
      <c r="Z77" s="141"/>
      <c r="AA77" s="124"/>
      <c r="AB77" s="141"/>
      <c r="AC77" s="124">
        <f t="shared" si="31"/>
        <v>0.071</v>
      </c>
      <c r="AD77" s="141"/>
      <c r="AE77" s="141"/>
      <c r="AF77" s="141"/>
      <c r="AG77" s="141"/>
      <c r="AH77" s="124"/>
      <c r="AI77" s="141"/>
      <c r="AJ77" s="124">
        <f t="shared" si="32"/>
        <v>0.071</v>
      </c>
      <c r="AK77" s="141"/>
      <c r="AL77" s="141"/>
      <c r="AM77" s="141"/>
      <c r="AN77" s="141"/>
      <c r="AO77" s="124"/>
      <c r="AP77" s="141"/>
      <c r="AQ77" s="124">
        <f t="shared" si="33"/>
        <v>0.071</v>
      </c>
      <c r="AR77" s="141"/>
      <c r="AS77" s="141"/>
      <c r="AT77" s="409" t="str">
        <f>4!AV81</f>
        <v>Обеспечения качества электроснабжения населения</v>
      </c>
    </row>
    <row r="78" spans="1:46" s="5" customFormat="1" ht="31.5">
      <c r="A78" s="509" t="str">
        <f>1!A80</f>
        <v>1.4.2.27</v>
      </c>
      <c r="B78" s="170" t="str">
        <f>1!B80</f>
        <v>Строительство КЛ-0,4 кВ от ВРУ-2 МКЖД до ВРУ-3 МКЖД ул.Тихая,8, п.Иноземцево, L= 0,025 км (АВВГ 4х35)</v>
      </c>
      <c r="C78" s="506" t="str">
        <f>1!C80</f>
        <v>G_Gelezno_ТР27</v>
      </c>
      <c r="D78" s="141"/>
      <c r="E78" s="141"/>
      <c r="F78" s="127"/>
      <c r="G78" s="141"/>
      <c r="H78" s="124">
        <f>4!J82</f>
        <v>0.025</v>
      </c>
      <c r="I78" s="141"/>
      <c r="J78" s="141"/>
      <c r="K78" s="141"/>
      <c r="L78" s="141"/>
      <c r="M78" s="124"/>
      <c r="N78" s="141"/>
      <c r="O78" s="124">
        <f>4!Q82</f>
        <v>0.025</v>
      </c>
      <c r="P78" s="141"/>
      <c r="Q78" s="141"/>
      <c r="R78" s="141"/>
      <c r="S78" s="141"/>
      <c r="T78" s="124"/>
      <c r="U78" s="141"/>
      <c r="V78" s="124">
        <f t="shared" si="30"/>
        <v>0.025</v>
      </c>
      <c r="W78" s="141"/>
      <c r="X78" s="141"/>
      <c r="Y78" s="141"/>
      <c r="Z78" s="141"/>
      <c r="AA78" s="124"/>
      <c r="AB78" s="141"/>
      <c r="AC78" s="124">
        <f t="shared" si="31"/>
        <v>0.025</v>
      </c>
      <c r="AD78" s="141"/>
      <c r="AE78" s="141"/>
      <c r="AF78" s="141"/>
      <c r="AG78" s="141"/>
      <c r="AH78" s="124"/>
      <c r="AI78" s="141"/>
      <c r="AJ78" s="124">
        <f t="shared" si="32"/>
        <v>0.025</v>
      </c>
      <c r="AK78" s="141"/>
      <c r="AL78" s="141"/>
      <c r="AM78" s="141"/>
      <c r="AN78" s="141"/>
      <c r="AO78" s="124"/>
      <c r="AP78" s="141"/>
      <c r="AQ78" s="124">
        <f t="shared" si="33"/>
        <v>0.025</v>
      </c>
      <c r="AR78" s="141"/>
      <c r="AS78" s="141"/>
      <c r="AT78" s="409" t="str">
        <f>4!AV82</f>
        <v>Обеспечения качества электроснабжения населения</v>
      </c>
    </row>
    <row r="79" spans="1:46" s="5" customFormat="1" ht="31.5">
      <c r="A79" s="509" t="str">
        <f>1!A81</f>
        <v>1.4.2.28</v>
      </c>
      <c r="B79" s="170" t="str">
        <f>1!B81</f>
        <v>Строительство КЛ-0,4 кВ от ВРУ-3 МКЖД до РУ-0,4 кВ КТП-248 ул.Тихая,8, п.Иноземцево, L= 0,107 км (АВВГ 4х35)</v>
      </c>
      <c r="C79" s="506" t="str">
        <f>1!C81</f>
        <v>G_Gelezno_ТР28</v>
      </c>
      <c r="D79" s="141"/>
      <c r="E79" s="141"/>
      <c r="F79" s="127"/>
      <c r="G79" s="141"/>
      <c r="H79" s="124">
        <f>4!J83</f>
        <v>0.107</v>
      </c>
      <c r="I79" s="141"/>
      <c r="J79" s="141"/>
      <c r="K79" s="141"/>
      <c r="L79" s="141"/>
      <c r="M79" s="124"/>
      <c r="N79" s="141"/>
      <c r="O79" s="124">
        <f>4!Q83</f>
        <v>0.107</v>
      </c>
      <c r="P79" s="141"/>
      <c r="Q79" s="141"/>
      <c r="R79" s="141"/>
      <c r="S79" s="141"/>
      <c r="T79" s="124"/>
      <c r="U79" s="141"/>
      <c r="V79" s="124">
        <f t="shared" si="30"/>
        <v>0.107</v>
      </c>
      <c r="W79" s="141"/>
      <c r="X79" s="141"/>
      <c r="Y79" s="141"/>
      <c r="Z79" s="141"/>
      <c r="AA79" s="124"/>
      <c r="AB79" s="141"/>
      <c r="AC79" s="124">
        <f t="shared" si="31"/>
        <v>0.107</v>
      </c>
      <c r="AD79" s="141"/>
      <c r="AE79" s="141"/>
      <c r="AF79" s="141"/>
      <c r="AG79" s="141"/>
      <c r="AH79" s="124"/>
      <c r="AI79" s="141"/>
      <c r="AJ79" s="124">
        <f t="shared" si="32"/>
        <v>0.107</v>
      </c>
      <c r="AK79" s="141"/>
      <c r="AL79" s="141"/>
      <c r="AM79" s="141"/>
      <c r="AN79" s="141"/>
      <c r="AO79" s="124"/>
      <c r="AP79" s="141"/>
      <c r="AQ79" s="124">
        <f t="shared" si="33"/>
        <v>0.107</v>
      </c>
      <c r="AR79" s="141"/>
      <c r="AS79" s="141"/>
      <c r="AT79" s="409" t="str">
        <f>4!AV83</f>
        <v>Обеспечения качества электроснабжения населения</v>
      </c>
    </row>
    <row r="80" spans="1:46" s="5" customFormat="1" ht="31.5">
      <c r="A80" s="509" t="str">
        <f>1!A82</f>
        <v>1.4.2.29</v>
      </c>
      <c r="B80" s="170" t="str">
        <f>1!B82</f>
        <v>Строительство КЛ-0,4 кВ от РУ-0,4 кВ КТП-248 до ВРУ-1 МКЖД ул.Тихая,8, п.Иноземцево, L= 0,102 км (АВВГ 4х35)</v>
      </c>
      <c r="C80" s="506" t="str">
        <f>1!C82</f>
        <v>G_Gelezno_ТР29</v>
      </c>
      <c r="D80" s="141"/>
      <c r="E80" s="141"/>
      <c r="F80" s="127"/>
      <c r="G80" s="141"/>
      <c r="H80" s="124">
        <f>4!J84</f>
        <v>0.102</v>
      </c>
      <c r="I80" s="141"/>
      <c r="J80" s="141"/>
      <c r="K80" s="141"/>
      <c r="L80" s="141"/>
      <c r="M80" s="124"/>
      <c r="N80" s="141"/>
      <c r="O80" s="124">
        <f>4!Q84</f>
        <v>0.102</v>
      </c>
      <c r="P80" s="141"/>
      <c r="Q80" s="141"/>
      <c r="R80" s="141"/>
      <c r="S80" s="141"/>
      <c r="T80" s="124"/>
      <c r="U80" s="141"/>
      <c r="V80" s="124">
        <f t="shared" si="30"/>
        <v>0.102</v>
      </c>
      <c r="W80" s="141"/>
      <c r="X80" s="141"/>
      <c r="Y80" s="141"/>
      <c r="Z80" s="141"/>
      <c r="AA80" s="124"/>
      <c r="AB80" s="141"/>
      <c r="AC80" s="124">
        <f t="shared" si="31"/>
        <v>0.102</v>
      </c>
      <c r="AD80" s="141"/>
      <c r="AE80" s="141"/>
      <c r="AF80" s="141"/>
      <c r="AG80" s="141"/>
      <c r="AH80" s="124"/>
      <c r="AI80" s="141"/>
      <c r="AJ80" s="124">
        <f t="shared" si="32"/>
        <v>0.102</v>
      </c>
      <c r="AK80" s="141"/>
      <c r="AL80" s="141"/>
      <c r="AM80" s="141"/>
      <c r="AN80" s="141"/>
      <c r="AO80" s="124"/>
      <c r="AP80" s="141"/>
      <c r="AQ80" s="124">
        <f t="shared" si="33"/>
        <v>0.102</v>
      </c>
      <c r="AR80" s="141"/>
      <c r="AS80" s="141"/>
      <c r="AT80" s="409" t="str">
        <f>4!AV84</f>
        <v>Обеспечения качества электроснабжения населения</v>
      </c>
    </row>
    <row r="81" spans="1:46" s="5" customFormat="1" ht="31.5">
      <c r="A81" s="509" t="str">
        <f>1!A83</f>
        <v>1.4.2.30</v>
      </c>
      <c r="B81" s="170" t="str">
        <f>1!B83</f>
        <v>Строительство КЛ-0,4 кВ от РУ-0,4 кВ КТП-105 до РЩ МКЖД ул.Октябрьская,96 Б, г.Железноводск, L= 0,186 км (АВБбШВ 4х95)</v>
      </c>
      <c r="C81" s="506" t="str">
        <f>1!C83</f>
        <v>G_Gelezno_ТР30</v>
      </c>
      <c r="D81" s="141"/>
      <c r="E81" s="141"/>
      <c r="F81" s="127"/>
      <c r="G81" s="141"/>
      <c r="H81" s="124">
        <f>4!J85</f>
        <v>0.186</v>
      </c>
      <c r="I81" s="141"/>
      <c r="J81" s="141"/>
      <c r="K81" s="141"/>
      <c r="L81" s="141"/>
      <c r="M81" s="124"/>
      <c r="N81" s="141"/>
      <c r="O81" s="124">
        <f>4!Q85</f>
        <v>0.186</v>
      </c>
      <c r="P81" s="141"/>
      <c r="Q81" s="141"/>
      <c r="R81" s="141"/>
      <c r="S81" s="141"/>
      <c r="T81" s="124"/>
      <c r="U81" s="141"/>
      <c r="V81" s="124">
        <f t="shared" si="30"/>
        <v>0.186</v>
      </c>
      <c r="W81" s="141"/>
      <c r="X81" s="141"/>
      <c r="Y81" s="141"/>
      <c r="Z81" s="141"/>
      <c r="AA81" s="124"/>
      <c r="AB81" s="141"/>
      <c r="AC81" s="124">
        <f t="shared" si="31"/>
        <v>0.186</v>
      </c>
      <c r="AD81" s="141"/>
      <c r="AE81" s="141"/>
      <c r="AF81" s="141"/>
      <c r="AG81" s="141"/>
      <c r="AH81" s="124"/>
      <c r="AI81" s="141"/>
      <c r="AJ81" s="124">
        <f t="shared" si="32"/>
        <v>0.186</v>
      </c>
      <c r="AK81" s="141"/>
      <c r="AL81" s="141"/>
      <c r="AM81" s="141"/>
      <c r="AN81" s="141"/>
      <c r="AO81" s="124"/>
      <c r="AP81" s="141"/>
      <c r="AQ81" s="124">
        <f t="shared" si="33"/>
        <v>0.186</v>
      </c>
      <c r="AR81" s="141"/>
      <c r="AS81" s="141"/>
      <c r="AT81" s="409" t="str">
        <f>4!AV85</f>
        <v>Обеспечения качества электроснабжения населения</v>
      </c>
    </row>
    <row r="82" spans="1:46" s="5" customFormat="1" ht="31.5">
      <c r="A82" s="509" t="str">
        <f>1!A84</f>
        <v>1.4.2.31</v>
      </c>
      <c r="B82" s="170" t="str">
        <f>1!B84</f>
        <v>Строительство КЛ-0,4 кВ от ВРУ-12 до ВРУ-2 в ЖК "Вишнёвый сад" (2-ая очередь), п.Иноземцево, L= 0,1 км (АВБбШВ 4х150)</v>
      </c>
      <c r="C82" s="506" t="str">
        <f>1!C84</f>
        <v>G_Gelezno_ТР31</v>
      </c>
      <c r="D82" s="141"/>
      <c r="E82" s="141"/>
      <c r="F82" s="127"/>
      <c r="G82" s="141"/>
      <c r="H82" s="124">
        <f>4!J86</f>
        <v>0.1</v>
      </c>
      <c r="I82" s="141"/>
      <c r="J82" s="141"/>
      <c r="K82" s="141"/>
      <c r="L82" s="141"/>
      <c r="M82" s="124"/>
      <c r="N82" s="141"/>
      <c r="O82" s="124">
        <f>4!Q86</f>
        <v>0.1</v>
      </c>
      <c r="P82" s="141"/>
      <c r="Q82" s="141"/>
      <c r="R82" s="141"/>
      <c r="S82" s="141"/>
      <c r="T82" s="124"/>
      <c r="U82" s="141"/>
      <c r="V82" s="124">
        <f t="shared" si="30"/>
        <v>0.1</v>
      </c>
      <c r="W82" s="141"/>
      <c r="X82" s="141"/>
      <c r="Y82" s="141"/>
      <c r="Z82" s="141"/>
      <c r="AA82" s="124"/>
      <c r="AB82" s="141"/>
      <c r="AC82" s="124">
        <f t="shared" si="31"/>
        <v>0.1</v>
      </c>
      <c r="AD82" s="141"/>
      <c r="AE82" s="141"/>
      <c r="AF82" s="141"/>
      <c r="AG82" s="141"/>
      <c r="AH82" s="124"/>
      <c r="AI82" s="141"/>
      <c r="AJ82" s="124">
        <f t="shared" si="32"/>
        <v>0.1</v>
      </c>
      <c r="AK82" s="141"/>
      <c r="AL82" s="141"/>
      <c r="AM82" s="141"/>
      <c r="AN82" s="141"/>
      <c r="AO82" s="124"/>
      <c r="AP82" s="141"/>
      <c r="AQ82" s="124">
        <f t="shared" si="33"/>
        <v>0.1</v>
      </c>
      <c r="AR82" s="141"/>
      <c r="AS82" s="141"/>
      <c r="AT82" s="409" t="str">
        <f>4!AV86</f>
        <v>Обеспечения качества электроснабжения населения</v>
      </c>
    </row>
    <row r="83" spans="1:46" s="5" customFormat="1" ht="31.5">
      <c r="A83" s="509" t="str">
        <f>1!A85</f>
        <v>1.4.2.32</v>
      </c>
      <c r="B83" s="170" t="str">
        <f>1!B85</f>
        <v>Строительство КЛ-0,4кВ от ВРУ-16 до ВРУ-10 в ЖК"Вишнёвый сад" (2-ая очередь), п.Иноземцево, L= 0,035 км (АВБбШВ 4х95)</v>
      </c>
      <c r="C83" s="506" t="str">
        <f>1!C85</f>
        <v>G_Gelezno_ТР32</v>
      </c>
      <c r="D83" s="141"/>
      <c r="E83" s="141"/>
      <c r="F83" s="127"/>
      <c r="G83" s="141"/>
      <c r="H83" s="124">
        <f>4!J87</f>
        <v>0.035</v>
      </c>
      <c r="I83" s="141"/>
      <c r="J83" s="141"/>
      <c r="K83" s="141"/>
      <c r="L83" s="141"/>
      <c r="M83" s="124"/>
      <c r="N83" s="141"/>
      <c r="O83" s="124">
        <f>4!Q87</f>
        <v>0.035</v>
      </c>
      <c r="P83" s="141"/>
      <c r="Q83" s="141"/>
      <c r="R83" s="141"/>
      <c r="S83" s="141"/>
      <c r="T83" s="124"/>
      <c r="U83" s="141"/>
      <c r="V83" s="124">
        <f t="shared" si="30"/>
        <v>0.035</v>
      </c>
      <c r="W83" s="141"/>
      <c r="X83" s="141"/>
      <c r="Y83" s="141"/>
      <c r="Z83" s="141"/>
      <c r="AA83" s="124"/>
      <c r="AB83" s="141"/>
      <c r="AC83" s="124">
        <f t="shared" si="31"/>
        <v>0.035</v>
      </c>
      <c r="AD83" s="141"/>
      <c r="AE83" s="141"/>
      <c r="AF83" s="141"/>
      <c r="AG83" s="141"/>
      <c r="AH83" s="124"/>
      <c r="AI83" s="141"/>
      <c r="AJ83" s="124">
        <f t="shared" si="32"/>
        <v>0.035</v>
      </c>
      <c r="AK83" s="141"/>
      <c r="AL83" s="141"/>
      <c r="AM83" s="141"/>
      <c r="AN83" s="141"/>
      <c r="AO83" s="124"/>
      <c r="AP83" s="141"/>
      <c r="AQ83" s="124">
        <f t="shared" si="33"/>
        <v>0.035</v>
      </c>
      <c r="AR83" s="141"/>
      <c r="AS83" s="141"/>
      <c r="AT83" s="409" t="str">
        <f>4!AV87</f>
        <v>Обеспечения качества электроснабжения населения</v>
      </c>
    </row>
    <row r="84" spans="1:46" s="5" customFormat="1" ht="47.25">
      <c r="A84" s="509" t="str">
        <f>1!A86</f>
        <v>1.4.2.33</v>
      </c>
      <c r="B84" s="170" t="str">
        <f>1!B86</f>
        <v>Строительство КЛ-0,4 кВ от опоры ВЛ-0,4 кВ № 21 до ВРУ-1 в ЖК "Вишнёвый сад" (2-ая очередь), п.Иноземцево, L= 0,05 км (АВБбШВ 4х120)</v>
      </c>
      <c r="C84" s="506" t="str">
        <f>1!C86</f>
        <v>G_Gelezno_ТР33</v>
      </c>
      <c r="D84" s="141"/>
      <c r="E84" s="141"/>
      <c r="F84" s="127"/>
      <c r="G84" s="141"/>
      <c r="H84" s="124">
        <f>4!J88</f>
        <v>0.05</v>
      </c>
      <c r="I84" s="141"/>
      <c r="J84" s="141"/>
      <c r="K84" s="141"/>
      <c r="L84" s="141"/>
      <c r="M84" s="124"/>
      <c r="N84" s="141"/>
      <c r="O84" s="124">
        <f>4!Q88</f>
        <v>0.05</v>
      </c>
      <c r="P84" s="141"/>
      <c r="Q84" s="141"/>
      <c r="R84" s="141"/>
      <c r="S84" s="141"/>
      <c r="T84" s="124"/>
      <c r="U84" s="141"/>
      <c r="V84" s="124">
        <f t="shared" si="30"/>
        <v>0.05</v>
      </c>
      <c r="W84" s="141"/>
      <c r="X84" s="141"/>
      <c r="Y84" s="141"/>
      <c r="Z84" s="141"/>
      <c r="AA84" s="124"/>
      <c r="AB84" s="141"/>
      <c r="AC84" s="124">
        <f t="shared" si="31"/>
        <v>0.05</v>
      </c>
      <c r="AD84" s="141"/>
      <c r="AE84" s="141"/>
      <c r="AF84" s="141"/>
      <c r="AG84" s="141"/>
      <c r="AH84" s="124"/>
      <c r="AI84" s="141"/>
      <c r="AJ84" s="124">
        <f t="shared" si="32"/>
        <v>0.05</v>
      </c>
      <c r="AK84" s="141"/>
      <c r="AL84" s="141"/>
      <c r="AM84" s="141"/>
      <c r="AN84" s="141"/>
      <c r="AO84" s="124"/>
      <c r="AP84" s="141"/>
      <c r="AQ84" s="124">
        <f t="shared" si="33"/>
        <v>0.05</v>
      </c>
      <c r="AR84" s="141"/>
      <c r="AS84" s="141"/>
      <c r="AT84" s="409" t="str">
        <f>4!AV88</f>
        <v>Обеспечения качества электроснабжения населения</v>
      </c>
    </row>
    <row r="85" spans="1:46" s="5" customFormat="1" ht="47.25">
      <c r="A85" s="509" t="str">
        <f>1!A87</f>
        <v>1.4.2.34</v>
      </c>
      <c r="B85" s="170" t="str">
        <f>1!B87</f>
        <v>Строительство КЛ-0,4 кВ от РУ-0,4 кВ 2КТП-244 до ВРУ-12 в ЖК "Вишнёвый сад" (2-ая очередь), п.Иноземцево, L= 0,17 км (АВБбШВ 4х185) км</v>
      </c>
      <c r="C85" s="506" t="str">
        <f>1!C87</f>
        <v>G_Gelezno_ТР34</v>
      </c>
      <c r="D85" s="141"/>
      <c r="E85" s="141"/>
      <c r="F85" s="127"/>
      <c r="G85" s="141"/>
      <c r="H85" s="124">
        <f>4!J89</f>
        <v>0.17</v>
      </c>
      <c r="I85" s="141"/>
      <c r="J85" s="141"/>
      <c r="K85" s="141"/>
      <c r="L85" s="141"/>
      <c r="M85" s="124"/>
      <c r="N85" s="141"/>
      <c r="O85" s="124">
        <f>4!Q89</f>
        <v>0.17</v>
      </c>
      <c r="P85" s="141"/>
      <c r="Q85" s="141"/>
      <c r="R85" s="141"/>
      <c r="S85" s="141"/>
      <c r="T85" s="124"/>
      <c r="U85" s="141"/>
      <c r="V85" s="124">
        <f t="shared" si="30"/>
        <v>0.17</v>
      </c>
      <c r="W85" s="141"/>
      <c r="X85" s="141"/>
      <c r="Y85" s="141"/>
      <c r="Z85" s="141"/>
      <c r="AA85" s="124"/>
      <c r="AB85" s="141"/>
      <c r="AC85" s="124">
        <f t="shared" si="31"/>
        <v>0.17</v>
      </c>
      <c r="AD85" s="141"/>
      <c r="AE85" s="141"/>
      <c r="AF85" s="141"/>
      <c r="AG85" s="141"/>
      <c r="AH85" s="124"/>
      <c r="AI85" s="141"/>
      <c r="AJ85" s="124">
        <f t="shared" si="32"/>
        <v>0.17</v>
      </c>
      <c r="AK85" s="141"/>
      <c r="AL85" s="141"/>
      <c r="AM85" s="141"/>
      <c r="AN85" s="141"/>
      <c r="AO85" s="124"/>
      <c r="AP85" s="141"/>
      <c r="AQ85" s="124">
        <f t="shared" si="33"/>
        <v>0.17</v>
      </c>
      <c r="AR85" s="141"/>
      <c r="AS85" s="141"/>
      <c r="AT85" s="409" t="str">
        <f>4!AV89</f>
        <v>Обеспечения качества электроснабжения населения</v>
      </c>
    </row>
    <row r="86" spans="1:46" s="5" customFormat="1" ht="47.25">
      <c r="A86" s="509" t="str">
        <f>1!A88</f>
        <v>1.4.2.35</v>
      </c>
      <c r="B86" s="170" t="str">
        <f>1!B88</f>
        <v>Строительство КЛ-0,4 кВ от РУ-0,4 кВ 2КТП-244 до ВРУ-15 в ЖК "Вишнёвый сад" (2-ая очередь), п.Иноземцево, L= 0,08 км (АВБбШВ 4х95)</v>
      </c>
      <c r="C86" s="506" t="str">
        <f>1!C88</f>
        <v>G_Gelezno_ТР35</v>
      </c>
      <c r="D86" s="141"/>
      <c r="E86" s="141"/>
      <c r="F86" s="127"/>
      <c r="G86" s="141"/>
      <c r="H86" s="124">
        <f>4!J90</f>
        <v>0.08</v>
      </c>
      <c r="I86" s="141"/>
      <c r="J86" s="141"/>
      <c r="K86" s="141"/>
      <c r="L86" s="141"/>
      <c r="M86" s="124"/>
      <c r="N86" s="141"/>
      <c r="O86" s="124">
        <f>4!Q90</f>
        <v>0.08</v>
      </c>
      <c r="P86" s="141"/>
      <c r="Q86" s="141"/>
      <c r="R86" s="141"/>
      <c r="S86" s="141"/>
      <c r="T86" s="124"/>
      <c r="U86" s="141"/>
      <c r="V86" s="124">
        <f t="shared" si="30"/>
        <v>0.08</v>
      </c>
      <c r="W86" s="141"/>
      <c r="X86" s="141"/>
      <c r="Y86" s="141"/>
      <c r="Z86" s="141"/>
      <c r="AA86" s="124"/>
      <c r="AB86" s="141"/>
      <c r="AC86" s="124">
        <f t="shared" si="31"/>
        <v>0.08</v>
      </c>
      <c r="AD86" s="141"/>
      <c r="AE86" s="141"/>
      <c r="AF86" s="141"/>
      <c r="AG86" s="141"/>
      <c r="AH86" s="124"/>
      <c r="AI86" s="141"/>
      <c r="AJ86" s="124">
        <f t="shared" si="32"/>
        <v>0.08</v>
      </c>
      <c r="AK86" s="141"/>
      <c r="AL86" s="141"/>
      <c r="AM86" s="141"/>
      <c r="AN86" s="141"/>
      <c r="AO86" s="124"/>
      <c r="AP86" s="141"/>
      <c r="AQ86" s="124">
        <f t="shared" si="33"/>
        <v>0.08</v>
      </c>
      <c r="AR86" s="141"/>
      <c r="AS86" s="141"/>
      <c r="AT86" s="409" t="str">
        <f>4!AV90</f>
        <v>Обеспечения качества электроснабжения населения</v>
      </c>
    </row>
    <row r="87" spans="1:46" s="5" customFormat="1" ht="47.25">
      <c r="A87" s="509" t="str">
        <f>1!A89</f>
        <v>1.4.2.36</v>
      </c>
      <c r="B87" s="170" t="str">
        <f>1!B89</f>
        <v>Строительство ВЛ-0,4 кВ от РУ-0,4 кВ КТП-241 ЖК "Вишнёвый сад" (2-ая очередь), п.Иноземцево, СИП-2 3х150+1х95 - 0,204 км СИП-2 3х120+1х95 - 0,275 км и СИП-2 3х95+1х70 - 0,408 км</v>
      </c>
      <c r="C87" s="506" t="str">
        <f>1!C89</f>
        <v>G_Gelezno_ТР36</v>
      </c>
      <c r="D87" s="141"/>
      <c r="E87" s="141"/>
      <c r="F87" s="127">
        <f>4!J91</f>
        <v>0.887</v>
      </c>
      <c r="G87" s="141"/>
      <c r="H87" s="124"/>
      <c r="I87" s="141"/>
      <c r="J87" s="141"/>
      <c r="K87" s="141"/>
      <c r="L87" s="141"/>
      <c r="M87" s="124">
        <f>4!Q91</f>
        <v>0.887</v>
      </c>
      <c r="N87" s="141"/>
      <c r="O87" s="124"/>
      <c r="P87" s="141"/>
      <c r="Q87" s="141"/>
      <c r="R87" s="141"/>
      <c r="S87" s="141"/>
      <c r="T87" s="124">
        <f>F87</f>
        <v>0.887</v>
      </c>
      <c r="U87" s="141"/>
      <c r="V87" s="124"/>
      <c r="W87" s="141"/>
      <c r="X87" s="141"/>
      <c r="Y87" s="141"/>
      <c r="Z87" s="141"/>
      <c r="AA87" s="124">
        <f>M87</f>
        <v>0.887</v>
      </c>
      <c r="AB87" s="141"/>
      <c r="AC87" s="124"/>
      <c r="AD87" s="141"/>
      <c r="AE87" s="141"/>
      <c r="AF87" s="141"/>
      <c r="AG87" s="141"/>
      <c r="AH87" s="124">
        <f>T87</f>
        <v>0.887</v>
      </c>
      <c r="AI87" s="141"/>
      <c r="AJ87" s="124"/>
      <c r="AK87" s="141"/>
      <c r="AL87" s="141"/>
      <c r="AM87" s="141"/>
      <c r="AN87" s="141"/>
      <c r="AO87" s="124">
        <f>AA87</f>
        <v>0.887</v>
      </c>
      <c r="AP87" s="141"/>
      <c r="AQ87" s="124"/>
      <c r="AR87" s="141"/>
      <c r="AS87" s="141"/>
      <c r="AT87" s="409" t="str">
        <f>4!AV91</f>
        <v>Обеспечения качества электроснабжения населения</v>
      </c>
    </row>
    <row r="88" spans="1:46" s="2" customFormat="1" ht="31.5">
      <c r="A88" s="509" t="str">
        <f>1!A90</f>
        <v>1.4.2.37</v>
      </c>
      <c r="B88" s="170" t="str">
        <f>1!B90</f>
        <v>Строительство КТП-249 пер.Промышленный,24, п.Иноземцево (ТМГ-630 кВА)(Линия 2), L=0,143 км</v>
      </c>
      <c r="C88" s="506" t="str">
        <f>1!C90</f>
        <v>G_Gelezno_ТР37</v>
      </c>
      <c r="D88" s="124">
        <f>4!H92</f>
        <v>0.63</v>
      </c>
      <c r="E88" s="127"/>
      <c r="F88" s="127"/>
      <c r="G88" s="127"/>
      <c r="H88" s="124"/>
      <c r="I88" s="127"/>
      <c r="J88" s="127"/>
      <c r="K88" s="124">
        <f>4!O92</f>
        <v>0.63</v>
      </c>
      <c r="L88" s="127"/>
      <c r="M88" s="124"/>
      <c r="N88" s="127"/>
      <c r="O88" s="124"/>
      <c r="P88" s="127"/>
      <c r="Q88" s="127"/>
      <c r="R88" s="124">
        <f>D88</f>
        <v>0.63</v>
      </c>
      <c r="S88" s="127"/>
      <c r="T88" s="124"/>
      <c r="U88" s="127"/>
      <c r="V88" s="124"/>
      <c r="W88" s="127"/>
      <c r="X88" s="127"/>
      <c r="Y88" s="124">
        <f>K88</f>
        <v>0.63</v>
      </c>
      <c r="Z88" s="127"/>
      <c r="AA88" s="124"/>
      <c r="AB88" s="127"/>
      <c r="AC88" s="124"/>
      <c r="AD88" s="127"/>
      <c r="AE88" s="127"/>
      <c r="AF88" s="124">
        <f>R88</f>
        <v>0.63</v>
      </c>
      <c r="AG88" s="127"/>
      <c r="AH88" s="124"/>
      <c r="AI88" s="127"/>
      <c r="AJ88" s="124"/>
      <c r="AK88" s="127"/>
      <c r="AL88" s="127"/>
      <c r="AM88" s="124">
        <f>Y88</f>
        <v>0.63</v>
      </c>
      <c r="AN88" s="127"/>
      <c r="AO88" s="124"/>
      <c r="AP88" s="127"/>
      <c r="AQ88" s="124"/>
      <c r="AR88" s="127"/>
      <c r="AS88" s="127"/>
      <c r="AT88" s="409" t="str">
        <f>4!AV92</f>
        <v>Обеспечения качества электроснабжения населения</v>
      </c>
    </row>
    <row r="89" spans="1:46" s="2" customFormat="1" ht="10.5" customHeight="1" thickBot="1">
      <c r="A89" s="241"/>
      <c r="B89" s="254"/>
      <c r="C89" s="242"/>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65"/>
    </row>
    <row r="90" spans="1:46" ht="15.75">
      <c r="A90" s="233"/>
      <c r="B90" s="252"/>
      <c r="C90" s="234"/>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179"/>
    </row>
    <row r="91" spans="1:46" ht="15.75">
      <c r="A91" s="233"/>
      <c r="B91" s="252"/>
      <c r="C91" s="234"/>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179"/>
    </row>
    <row r="92" spans="1:46" ht="15.75">
      <c r="A92" s="233"/>
      <c r="B92" s="252"/>
      <c r="C92" s="234"/>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179"/>
    </row>
    <row r="93" spans="1:46" ht="15.75">
      <c r="A93" s="233"/>
      <c r="B93" s="252"/>
      <c r="C93" s="234"/>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179"/>
    </row>
    <row r="94" spans="1:46" ht="15.75">
      <c r="A94" s="233"/>
      <c r="B94" s="252"/>
      <c r="C94" s="234"/>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179"/>
    </row>
    <row r="95" spans="1:46" ht="15.75">
      <c r="A95" s="233"/>
      <c r="B95" s="252"/>
      <c r="C95" s="234"/>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179"/>
    </row>
    <row r="96" spans="1:46" ht="15.75">
      <c r="A96" s="233"/>
      <c r="B96" s="252"/>
      <c r="C96" s="234"/>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179"/>
    </row>
    <row r="97" spans="1:46" ht="15.75" customHeight="1">
      <c r="A97" s="233"/>
      <c r="B97" s="603" t="s">
        <v>595</v>
      </c>
      <c r="C97" s="603"/>
      <c r="D97" s="603"/>
      <c r="E97" s="603"/>
      <c r="F97" s="603"/>
      <c r="G97" s="603"/>
      <c r="H97" s="603"/>
      <c r="I97" s="603"/>
      <c r="J97" s="603"/>
      <c r="K97" s="603"/>
      <c r="L97" s="603"/>
      <c r="M97" s="603"/>
      <c r="N97" s="603"/>
      <c r="O97" s="603"/>
      <c r="P97" s="603"/>
      <c r="Q97" s="603"/>
      <c r="R97" s="603"/>
      <c r="S97" s="603"/>
      <c r="T97" s="603"/>
      <c r="U97" s="603"/>
      <c r="V97" s="603"/>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179"/>
    </row>
    <row r="103" ht="15.75">
      <c r="AO103" s="23"/>
    </row>
    <row r="104" ht="15.75">
      <c r="AO104" s="77"/>
    </row>
    <row r="105" ht="15.75">
      <c r="AO105" s="23"/>
    </row>
    <row r="106" ht="15.75">
      <c r="AO106" s="23"/>
    </row>
  </sheetData>
  <sheetProtection/>
  <mergeCells count="21">
    <mergeCell ref="AT17:AT20"/>
    <mergeCell ref="D17:Q18"/>
    <mergeCell ref="C17:C20"/>
    <mergeCell ref="B17:B20"/>
    <mergeCell ref="K19:Q19"/>
    <mergeCell ref="AF19:AL19"/>
    <mergeCell ref="A11:AE11"/>
    <mergeCell ref="A13:AE13"/>
    <mergeCell ref="A14:AE14"/>
    <mergeCell ref="D19:J19"/>
    <mergeCell ref="AF18:AS18"/>
    <mergeCell ref="A15:AE15"/>
    <mergeCell ref="R17:AE18"/>
    <mergeCell ref="A17:A20"/>
    <mergeCell ref="A12:AE12"/>
    <mergeCell ref="B97:V97"/>
    <mergeCell ref="R19:X19"/>
    <mergeCell ref="Y19:AE19"/>
    <mergeCell ref="AM19:AS19"/>
    <mergeCell ref="AF17:AS17"/>
    <mergeCell ref="A16:AS16"/>
  </mergeCells>
  <printOptions/>
  <pageMargins left="0.3937007874015748" right="0.1968503937007874" top="0.5905511811023623" bottom="0.3937007874015748" header="0.11811023622047245" footer="0.11811023622047245"/>
  <pageSetup fitToWidth="2" horizontalDpi="600" verticalDpi="600" orientation="portrait" paperSize="8" scale="70"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Y107"/>
  <sheetViews>
    <sheetView view="pageBreakPreview" zoomScale="80" zoomScaleSheetLayoutView="80" zoomScalePageLayoutView="0" workbookViewId="0" topLeftCell="A10">
      <selection activeCell="A19" sqref="A19:N19"/>
    </sheetView>
  </sheetViews>
  <sheetFormatPr defaultColWidth="9.00390625" defaultRowHeight="15.75"/>
  <cols>
    <col min="1" max="1" width="6.50390625" style="1" customWidth="1"/>
    <col min="2" max="2" width="134.00390625" style="1" customWidth="1"/>
    <col min="3" max="3" width="14.625" style="1" customWidth="1"/>
    <col min="4" max="4" width="15.375" style="1" customWidth="1"/>
    <col min="5" max="14" width="8.25390625" style="1" customWidth="1"/>
    <col min="15" max="15" width="5.75390625" style="1" customWidth="1"/>
    <col min="16" max="16" width="16.125" style="1" customWidth="1"/>
    <col min="17" max="17" width="21.25390625" style="1" customWidth="1"/>
    <col min="18" max="18" width="12.625" style="1" customWidth="1"/>
    <col min="19" max="19" width="22.375" style="1" customWidth="1"/>
    <col min="20" max="20" width="10.875" style="1" customWidth="1"/>
    <col min="21" max="21" width="17.375" style="1" customWidth="1"/>
    <col min="22" max="23" width="4.125" style="1" customWidth="1"/>
    <col min="24" max="24" width="3.75390625" style="1" customWidth="1"/>
    <col min="25" max="25" width="3.875" style="1" customWidth="1"/>
    <col min="26" max="26" width="4.50390625" style="1" customWidth="1"/>
    <col min="27" max="27" width="5.00390625" style="1" customWidth="1"/>
    <col min="28" max="28" width="5.50390625" style="1" customWidth="1"/>
    <col min="29" max="29" width="5.75390625" style="1" customWidth="1"/>
    <col min="30" max="30" width="5.50390625" style="1" customWidth="1"/>
    <col min="31" max="32" width="5.00390625" style="1" customWidth="1"/>
    <col min="33" max="33" width="12.875" style="1" customWidth="1"/>
    <col min="34" max="43" width="5.00390625" style="1" customWidth="1"/>
    <col min="44" max="16384" width="9.00390625" style="1" customWidth="1"/>
  </cols>
  <sheetData>
    <row r="1" ht="18.75">
      <c r="N1" s="26" t="s">
        <v>144</v>
      </c>
    </row>
    <row r="2" ht="18.75">
      <c r="N2" s="16" t="s">
        <v>423</v>
      </c>
    </row>
    <row r="3" ht="18.75">
      <c r="N3" s="16" t="s">
        <v>589</v>
      </c>
    </row>
    <row r="4" ht="18.75">
      <c r="N4" s="16"/>
    </row>
    <row r="5" ht="18.75">
      <c r="N5" s="16"/>
    </row>
    <row r="6" ht="18.75">
      <c r="N6" s="16"/>
    </row>
    <row r="7" ht="18.75">
      <c r="N7" s="16"/>
    </row>
    <row r="8" ht="15.75">
      <c r="N8" s="251" t="s">
        <v>591</v>
      </c>
    </row>
    <row r="9" ht="15.75">
      <c r="N9" s="251" t="s">
        <v>592</v>
      </c>
    </row>
    <row r="10" ht="18.75">
      <c r="N10" s="16"/>
    </row>
    <row r="11" ht="15.75">
      <c r="N11" s="251" t="s">
        <v>597</v>
      </c>
    </row>
    <row r="12" ht="15.75">
      <c r="N12" s="251"/>
    </row>
    <row r="13" spans="11:14" ht="15.75">
      <c r="K13" s="268" t="s">
        <v>593</v>
      </c>
      <c r="N13" s="251" t="s">
        <v>765</v>
      </c>
    </row>
    <row r="14" spans="11:14" ht="15.75">
      <c r="K14" s="268"/>
      <c r="N14" s="251"/>
    </row>
    <row r="15" spans="11:14" ht="15.75">
      <c r="K15" s="268"/>
      <c r="N15" s="251"/>
    </row>
    <row r="16" spans="11:14" ht="15.75">
      <c r="K16" s="268"/>
      <c r="N16" s="251"/>
    </row>
    <row r="17" spans="11:14" ht="15.75">
      <c r="K17" s="268"/>
      <c r="N17" s="251"/>
    </row>
    <row r="18" spans="1:14" ht="15.75">
      <c r="A18" s="629" t="s">
        <v>198</v>
      </c>
      <c r="B18" s="629"/>
      <c r="C18" s="629"/>
      <c r="D18" s="629"/>
      <c r="E18" s="629"/>
      <c r="F18" s="629"/>
      <c r="G18" s="629"/>
      <c r="H18" s="629"/>
      <c r="I18" s="629"/>
      <c r="J18" s="629"/>
      <c r="K18" s="629"/>
      <c r="L18" s="629"/>
      <c r="M18" s="629"/>
      <c r="N18" s="629"/>
    </row>
    <row r="19" spans="1:14" ht="21.75" customHeight="1">
      <c r="A19" s="657" t="str">
        <f>1!A14:U14</f>
        <v>Инвестиционная программа Филиала "Железноводские электрические сети" ООО "КЭУК".</v>
      </c>
      <c r="B19" s="657"/>
      <c r="C19" s="657"/>
      <c r="D19" s="657"/>
      <c r="E19" s="657"/>
      <c r="F19" s="657"/>
      <c r="G19" s="657"/>
      <c r="H19" s="657"/>
      <c r="I19" s="657"/>
      <c r="J19" s="657"/>
      <c r="K19" s="657"/>
      <c r="L19" s="657"/>
      <c r="M19" s="657"/>
      <c r="N19" s="657"/>
    </row>
    <row r="20" spans="1:14" ht="15.75">
      <c r="A20" s="658" t="s">
        <v>109</v>
      </c>
      <c r="B20" s="658"/>
      <c r="C20" s="658"/>
      <c r="D20" s="658"/>
      <c r="E20" s="658"/>
      <c r="F20" s="658"/>
      <c r="G20" s="658"/>
      <c r="H20" s="658"/>
      <c r="I20" s="658"/>
      <c r="J20" s="658"/>
      <c r="K20" s="658"/>
      <c r="L20" s="658"/>
      <c r="M20" s="658"/>
      <c r="N20" s="658"/>
    </row>
    <row r="21" spans="1:14" ht="15.75">
      <c r="A21" s="72"/>
      <c r="B21" s="72"/>
      <c r="C21" s="72"/>
      <c r="D21" s="72"/>
      <c r="E21" s="72"/>
      <c r="F21" s="72"/>
      <c r="G21" s="72"/>
      <c r="H21" s="72"/>
      <c r="I21" s="72"/>
      <c r="J21" s="72"/>
      <c r="K21" s="72"/>
      <c r="L21" s="72"/>
      <c r="M21" s="72"/>
      <c r="N21" s="72"/>
    </row>
    <row r="22" spans="1:14" ht="18.75" customHeight="1">
      <c r="A22" s="561" t="str">
        <f>1!A17:U17</f>
        <v>Год раскрытия информации: 2018 год</v>
      </c>
      <c r="B22" s="561"/>
      <c r="C22" s="561"/>
      <c r="D22" s="561"/>
      <c r="E22" s="561"/>
      <c r="F22" s="561"/>
      <c r="G22" s="561"/>
      <c r="H22" s="561"/>
      <c r="I22" s="561"/>
      <c r="J22" s="561"/>
      <c r="K22" s="561"/>
      <c r="L22" s="561"/>
      <c r="M22" s="561"/>
      <c r="N22" s="561"/>
    </row>
    <row r="23" spans="1:25" ht="16.5" thickBot="1">
      <c r="A23" s="604"/>
      <c r="B23" s="604"/>
      <c r="C23" s="604"/>
      <c r="D23" s="604"/>
      <c r="E23" s="604"/>
      <c r="F23" s="604"/>
      <c r="G23" s="604"/>
      <c r="H23" s="604"/>
      <c r="I23" s="604"/>
      <c r="J23" s="14"/>
      <c r="K23" s="2"/>
      <c r="L23" s="2"/>
      <c r="M23" s="2"/>
      <c r="N23" s="2"/>
      <c r="O23" s="2"/>
      <c r="P23" s="2"/>
      <c r="Q23" s="2"/>
      <c r="R23" s="2"/>
      <c r="S23" s="2"/>
      <c r="T23" s="2"/>
      <c r="U23" s="2"/>
      <c r="V23" s="2"/>
      <c r="W23" s="2"/>
      <c r="X23" s="2"/>
      <c r="Y23" s="2"/>
    </row>
    <row r="24" spans="1:25" ht="15.75" customHeight="1">
      <c r="A24" s="605" t="s">
        <v>24</v>
      </c>
      <c r="B24" s="622" t="s">
        <v>452</v>
      </c>
      <c r="C24" s="622" t="s">
        <v>256</v>
      </c>
      <c r="D24" s="622" t="s">
        <v>255</v>
      </c>
      <c r="E24" s="659" t="s">
        <v>490</v>
      </c>
      <c r="F24" s="659"/>
      <c r="G24" s="659"/>
      <c r="H24" s="659"/>
      <c r="I24" s="659"/>
      <c r="J24" s="659"/>
      <c r="K24" s="659"/>
      <c r="L24" s="659"/>
      <c r="M24" s="659"/>
      <c r="N24" s="660"/>
      <c r="O24" s="2"/>
      <c r="P24" s="2"/>
      <c r="Q24" s="2"/>
      <c r="R24" s="2"/>
      <c r="S24" s="2"/>
      <c r="T24" s="2"/>
      <c r="U24" s="2"/>
      <c r="V24" s="2"/>
      <c r="W24" s="2"/>
      <c r="X24" s="2"/>
      <c r="Y24" s="2"/>
    </row>
    <row r="25" spans="1:25" ht="65.25" customHeight="1">
      <c r="A25" s="606"/>
      <c r="B25" s="613"/>
      <c r="C25" s="613"/>
      <c r="D25" s="613"/>
      <c r="E25" s="612" t="s">
        <v>607</v>
      </c>
      <c r="F25" s="612"/>
      <c r="G25" s="612"/>
      <c r="H25" s="612"/>
      <c r="I25" s="612"/>
      <c r="J25" s="613" t="s">
        <v>425</v>
      </c>
      <c r="K25" s="613"/>
      <c r="L25" s="613"/>
      <c r="M25" s="613"/>
      <c r="N25" s="635"/>
      <c r="O25" s="2"/>
      <c r="P25" s="2"/>
      <c r="Q25" s="2"/>
      <c r="R25" s="2"/>
      <c r="S25" s="2"/>
      <c r="T25" s="2"/>
      <c r="U25" s="2"/>
      <c r="V25" s="2"/>
      <c r="W25" s="2"/>
      <c r="X25" s="2"/>
      <c r="Y25" s="2"/>
    </row>
    <row r="26" spans="1:25" ht="60.75" customHeight="1">
      <c r="A26" s="606"/>
      <c r="B26" s="613"/>
      <c r="C26" s="613"/>
      <c r="D26" s="613"/>
      <c r="E26" s="612" t="s">
        <v>440</v>
      </c>
      <c r="F26" s="612"/>
      <c r="G26" s="612"/>
      <c r="H26" s="612"/>
      <c r="I26" s="612"/>
      <c r="J26" s="612" t="s">
        <v>623</v>
      </c>
      <c r="K26" s="612"/>
      <c r="L26" s="612"/>
      <c r="M26" s="612"/>
      <c r="N26" s="661"/>
      <c r="O26" s="2"/>
      <c r="P26" s="2"/>
      <c r="Q26" s="2"/>
      <c r="R26" s="2"/>
      <c r="S26" s="2"/>
      <c r="T26" s="2"/>
      <c r="U26" s="2"/>
      <c r="V26" s="2"/>
      <c r="W26" s="2"/>
      <c r="X26" s="2"/>
      <c r="Y26" s="2"/>
    </row>
    <row r="27" spans="1:25" ht="65.25" customHeight="1" thickBot="1">
      <c r="A27" s="607"/>
      <c r="B27" s="614"/>
      <c r="C27" s="614"/>
      <c r="D27" s="614"/>
      <c r="E27" s="244" t="s">
        <v>427</v>
      </c>
      <c r="F27" s="244" t="s">
        <v>428</v>
      </c>
      <c r="G27" s="244" t="s">
        <v>93</v>
      </c>
      <c r="H27" s="244" t="s">
        <v>424</v>
      </c>
      <c r="I27" s="244" t="s">
        <v>6</v>
      </c>
      <c r="J27" s="244" t="s">
        <v>427</v>
      </c>
      <c r="K27" s="244" t="s">
        <v>428</v>
      </c>
      <c r="L27" s="244" t="s">
        <v>93</v>
      </c>
      <c r="M27" s="244" t="s">
        <v>424</v>
      </c>
      <c r="N27" s="256" t="s">
        <v>6</v>
      </c>
      <c r="O27" s="2"/>
      <c r="P27" s="2"/>
      <c r="Q27" s="2"/>
      <c r="R27" s="2"/>
      <c r="S27" s="2"/>
      <c r="T27" s="2"/>
      <c r="U27" s="2"/>
      <c r="V27" s="2"/>
      <c r="W27" s="2"/>
      <c r="X27" s="2"/>
      <c r="Y27" s="2"/>
    </row>
    <row r="28" spans="1:25" ht="16.5" thickBot="1">
      <c r="A28" s="246">
        <v>1</v>
      </c>
      <c r="B28" s="247">
        <v>2</v>
      </c>
      <c r="C28" s="247">
        <v>3</v>
      </c>
      <c r="D28" s="247">
        <v>4</v>
      </c>
      <c r="E28" s="248" t="s">
        <v>76</v>
      </c>
      <c r="F28" s="248" t="s">
        <v>77</v>
      </c>
      <c r="G28" s="248" t="s">
        <v>78</v>
      </c>
      <c r="H28" s="248" t="s">
        <v>79</v>
      </c>
      <c r="I28" s="248" t="s">
        <v>80</v>
      </c>
      <c r="J28" s="248" t="s">
        <v>94</v>
      </c>
      <c r="K28" s="248" t="s">
        <v>95</v>
      </c>
      <c r="L28" s="248" t="s">
        <v>96</v>
      </c>
      <c r="M28" s="248" t="s">
        <v>97</v>
      </c>
      <c r="N28" s="249" t="s">
        <v>98</v>
      </c>
      <c r="O28" s="2"/>
      <c r="P28" s="2"/>
      <c r="Q28" s="2"/>
      <c r="R28" s="2"/>
      <c r="S28" s="2"/>
      <c r="T28" s="2"/>
      <c r="U28" s="2"/>
      <c r="V28" s="2"/>
      <c r="W28" s="2"/>
      <c r="X28" s="2"/>
      <c r="Y28" s="2"/>
    </row>
    <row r="29" spans="1:14" s="2" customFormat="1" ht="15.75">
      <c r="A29" s="323"/>
      <c r="B29" s="194" t="s">
        <v>475</v>
      </c>
      <c r="C29" s="324" t="s">
        <v>261</v>
      </c>
      <c r="D29" s="218"/>
      <c r="E29" s="218">
        <f aca="true" t="shared" si="0" ref="E29:N29">SUM(E30:E35)</f>
        <v>0</v>
      </c>
      <c r="F29" s="218">
        <f t="shared" si="0"/>
        <v>0</v>
      </c>
      <c r="G29" s="218">
        <f t="shared" si="0"/>
        <v>0</v>
      </c>
      <c r="H29" s="218">
        <f t="shared" si="0"/>
        <v>0</v>
      </c>
      <c r="I29" s="218">
        <f t="shared" si="0"/>
        <v>0</v>
      </c>
      <c r="J29" s="218">
        <f t="shared" si="0"/>
        <v>0</v>
      </c>
      <c r="K29" s="218">
        <f t="shared" si="0"/>
        <v>0</v>
      </c>
      <c r="L29" s="218">
        <f t="shared" si="0"/>
        <v>0</v>
      </c>
      <c r="M29" s="218">
        <f t="shared" si="0"/>
        <v>0</v>
      </c>
      <c r="N29" s="232">
        <f t="shared" si="0"/>
        <v>0</v>
      </c>
    </row>
    <row r="30" spans="1:14" s="2" customFormat="1" ht="15.75">
      <c r="A30" s="207" t="s">
        <v>476</v>
      </c>
      <c r="B30" s="159" t="s">
        <v>477</v>
      </c>
      <c r="C30" s="173" t="s">
        <v>261</v>
      </c>
      <c r="D30" s="141"/>
      <c r="E30" s="141">
        <v>0</v>
      </c>
      <c r="F30" s="141">
        <v>0</v>
      </c>
      <c r="G30" s="141">
        <v>0</v>
      </c>
      <c r="H30" s="141">
        <v>0</v>
      </c>
      <c r="I30" s="141">
        <v>0</v>
      </c>
      <c r="J30" s="141">
        <v>0</v>
      </c>
      <c r="K30" s="141">
        <v>0</v>
      </c>
      <c r="L30" s="141">
        <v>0</v>
      </c>
      <c r="M30" s="141">
        <v>0</v>
      </c>
      <c r="N30" s="228">
        <v>0</v>
      </c>
    </row>
    <row r="31" spans="1:14" s="2" customFormat="1" ht="15.75">
      <c r="A31" s="207" t="s">
        <v>478</v>
      </c>
      <c r="B31" s="159" t="s">
        <v>479</v>
      </c>
      <c r="C31" s="173" t="s">
        <v>261</v>
      </c>
      <c r="D31" s="141"/>
      <c r="E31" s="141">
        <f aca="true" t="shared" si="1" ref="E31:M31">E36</f>
        <v>0</v>
      </c>
      <c r="F31" s="141">
        <f t="shared" si="1"/>
        <v>0</v>
      </c>
      <c r="G31" s="141">
        <f t="shared" si="1"/>
        <v>0</v>
      </c>
      <c r="H31" s="141">
        <f t="shared" si="1"/>
        <v>0</v>
      </c>
      <c r="I31" s="141">
        <f t="shared" si="1"/>
        <v>0</v>
      </c>
      <c r="J31" s="141">
        <f t="shared" si="1"/>
        <v>0</v>
      </c>
      <c r="K31" s="141">
        <f t="shared" si="1"/>
        <v>0</v>
      </c>
      <c r="L31" s="141">
        <f t="shared" si="1"/>
        <v>0</v>
      </c>
      <c r="M31" s="141">
        <f t="shared" si="1"/>
        <v>0</v>
      </c>
      <c r="N31" s="228">
        <f>N36</f>
        <v>0</v>
      </c>
    </row>
    <row r="32" spans="1:14" s="2" customFormat="1" ht="16.5" customHeight="1">
      <c r="A32" s="207" t="s">
        <v>480</v>
      </c>
      <c r="B32" s="159" t="s">
        <v>481</v>
      </c>
      <c r="C32" s="173" t="s">
        <v>261</v>
      </c>
      <c r="D32" s="141"/>
      <c r="E32" s="141">
        <v>0</v>
      </c>
      <c r="F32" s="141">
        <v>0</v>
      </c>
      <c r="G32" s="141">
        <v>0</v>
      </c>
      <c r="H32" s="141">
        <v>0</v>
      </c>
      <c r="I32" s="141">
        <v>0</v>
      </c>
      <c r="J32" s="141">
        <v>0</v>
      </c>
      <c r="K32" s="141">
        <v>0</v>
      </c>
      <c r="L32" s="141">
        <v>0</v>
      </c>
      <c r="M32" s="141">
        <v>0</v>
      </c>
      <c r="N32" s="228">
        <v>0</v>
      </c>
    </row>
    <row r="33" spans="1:14" s="2" customFormat="1" ht="15.75">
      <c r="A33" s="207" t="s">
        <v>482</v>
      </c>
      <c r="B33" s="159" t="s">
        <v>483</v>
      </c>
      <c r="C33" s="173" t="s">
        <v>261</v>
      </c>
      <c r="D33" s="141"/>
      <c r="E33" s="141">
        <v>0</v>
      </c>
      <c r="F33" s="141">
        <v>0</v>
      </c>
      <c r="G33" s="141">
        <v>0</v>
      </c>
      <c r="H33" s="141">
        <v>0</v>
      </c>
      <c r="I33" s="141">
        <v>0</v>
      </c>
      <c r="J33" s="141">
        <v>0</v>
      </c>
      <c r="K33" s="141">
        <v>0</v>
      </c>
      <c r="L33" s="141">
        <v>0</v>
      </c>
      <c r="M33" s="141">
        <v>0</v>
      </c>
      <c r="N33" s="228">
        <v>0</v>
      </c>
    </row>
    <row r="34" spans="1:14" s="2" customFormat="1" ht="15.75">
      <c r="A34" s="207" t="s">
        <v>484</v>
      </c>
      <c r="B34" s="160" t="s">
        <v>485</v>
      </c>
      <c r="C34" s="173" t="s">
        <v>261</v>
      </c>
      <c r="D34" s="141"/>
      <c r="E34" s="141">
        <v>0</v>
      </c>
      <c r="F34" s="141">
        <v>0</v>
      </c>
      <c r="G34" s="141">
        <v>0</v>
      </c>
      <c r="H34" s="141">
        <v>0</v>
      </c>
      <c r="I34" s="141">
        <v>0</v>
      </c>
      <c r="J34" s="141">
        <v>0</v>
      </c>
      <c r="K34" s="141">
        <v>0</v>
      </c>
      <c r="L34" s="141">
        <v>0</v>
      </c>
      <c r="M34" s="141">
        <v>0</v>
      </c>
      <c r="N34" s="228">
        <v>0</v>
      </c>
    </row>
    <row r="35" spans="1:14" s="2" customFormat="1" ht="15.75">
      <c r="A35" s="207" t="s">
        <v>486</v>
      </c>
      <c r="B35" s="160" t="s">
        <v>487</v>
      </c>
      <c r="C35" s="173" t="s">
        <v>261</v>
      </c>
      <c r="D35" s="141"/>
      <c r="E35" s="141">
        <f>E51</f>
        <v>0</v>
      </c>
      <c r="F35" s="141">
        <f aca="true" t="shared" si="2" ref="F35:N35">F51</f>
        <v>0</v>
      </c>
      <c r="G35" s="141">
        <f t="shared" si="2"/>
        <v>0</v>
      </c>
      <c r="H35" s="141">
        <f t="shared" si="2"/>
        <v>0</v>
      </c>
      <c r="I35" s="141">
        <f t="shared" si="2"/>
        <v>0</v>
      </c>
      <c r="J35" s="141">
        <f t="shared" si="2"/>
        <v>0</v>
      </c>
      <c r="K35" s="141">
        <f t="shared" si="2"/>
        <v>0</v>
      </c>
      <c r="L35" s="141">
        <f t="shared" si="2"/>
        <v>0</v>
      </c>
      <c r="M35" s="141">
        <f t="shared" si="2"/>
        <v>0</v>
      </c>
      <c r="N35" s="228">
        <f t="shared" si="2"/>
        <v>0</v>
      </c>
    </row>
    <row r="36" spans="1:14" s="2" customFormat="1" ht="15.75">
      <c r="A36" s="325">
        <v>1</v>
      </c>
      <c r="B36" s="161" t="s">
        <v>260</v>
      </c>
      <c r="C36" s="173" t="s">
        <v>261</v>
      </c>
      <c r="D36" s="141"/>
      <c r="E36" s="141">
        <f>E37</f>
        <v>0</v>
      </c>
      <c r="F36" s="141">
        <f aca="true" t="shared" si="3" ref="F36:N36">F37</f>
        <v>0</v>
      </c>
      <c r="G36" s="141">
        <f t="shared" si="3"/>
        <v>0</v>
      </c>
      <c r="H36" s="141">
        <f t="shared" si="3"/>
        <v>0</v>
      </c>
      <c r="I36" s="141">
        <f t="shared" si="3"/>
        <v>0</v>
      </c>
      <c r="J36" s="141">
        <f t="shared" si="3"/>
        <v>0</v>
      </c>
      <c r="K36" s="141">
        <f t="shared" si="3"/>
        <v>0</v>
      </c>
      <c r="L36" s="141">
        <f t="shared" si="3"/>
        <v>0</v>
      </c>
      <c r="M36" s="141">
        <f t="shared" si="3"/>
        <v>0</v>
      </c>
      <c r="N36" s="228">
        <f t="shared" si="3"/>
        <v>0</v>
      </c>
    </row>
    <row r="37" spans="1:14" s="2" customFormat="1" ht="15.75">
      <c r="A37" s="207" t="s">
        <v>285</v>
      </c>
      <c r="B37" s="161" t="s">
        <v>263</v>
      </c>
      <c r="C37" s="173" t="s">
        <v>261</v>
      </c>
      <c r="D37" s="141"/>
      <c r="E37" s="141">
        <f aca="true" t="shared" si="4" ref="E37:N37">SUM(E38:E47)</f>
        <v>0</v>
      </c>
      <c r="F37" s="141">
        <f t="shared" si="4"/>
        <v>0</v>
      </c>
      <c r="G37" s="141">
        <f t="shared" si="4"/>
        <v>0</v>
      </c>
      <c r="H37" s="141">
        <f t="shared" si="4"/>
        <v>0</v>
      </c>
      <c r="I37" s="141">
        <f t="shared" si="4"/>
        <v>0</v>
      </c>
      <c r="J37" s="141">
        <f t="shared" si="4"/>
        <v>0</v>
      </c>
      <c r="K37" s="141">
        <f t="shared" si="4"/>
        <v>0</v>
      </c>
      <c r="L37" s="141">
        <f t="shared" si="4"/>
        <v>0</v>
      </c>
      <c r="M37" s="141">
        <f t="shared" si="4"/>
        <v>0</v>
      </c>
      <c r="N37" s="228">
        <f t="shared" si="4"/>
        <v>0</v>
      </c>
    </row>
    <row r="38" spans="1:14" s="2" customFormat="1" ht="15.75" customHeight="1">
      <c r="A38" s="238" t="str">
        <f>1!A33</f>
        <v>1.1</v>
      </c>
      <c r="B38" s="170" t="str">
        <f>1!B33</f>
        <v>Реконструкция ВЛ-0,4 кВ ул.Шоссейная, п.Иноземцево, (и/н 0000467), СИП-2 3х50+1х54,6 - 0,418 км, СИП-2 3х35+1х54,6 - 0,366 км и СИП-4 2х16 - 0,575 км</v>
      </c>
      <c r="C38" s="125" t="str">
        <f>1!C33</f>
        <v>G_Gelezno_001</v>
      </c>
      <c r="D38" s="92"/>
      <c r="E38" s="127"/>
      <c r="F38" s="127"/>
      <c r="G38" s="127"/>
      <c r="H38" s="127"/>
      <c r="I38" s="127"/>
      <c r="J38" s="127"/>
      <c r="K38" s="127"/>
      <c r="L38" s="127"/>
      <c r="M38" s="127"/>
      <c r="N38" s="253"/>
    </row>
    <row r="39" spans="1:14" s="2" customFormat="1" ht="15.75">
      <c r="A39" s="238" t="str">
        <f>1!A34</f>
        <v>1.1</v>
      </c>
      <c r="B39" s="170" t="str">
        <f>1!B34</f>
        <v>Реконструкция ВЛ-0,4 кВ ул.Р.Люксембург, г.Железноводск, (и/н 0000305), СИП-2 3х35+1х54,6 - 0,367 км и СИП-4 2х16 - 0,45 км</v>
      </c>
      <c r="C39" s="125" t="str">
        <f>1!C34</f>
        <v>G_Gelezno_002</v>
      </c>
      <c r="D39" s="92"/>
      <c r="E39" s="127"/>
      <c r="F39" s="127"/>
      <c r="G39" s="127"/>
      <c r="H39" s="127"/>
      <c r="I39" s="127"/>
      <c r="J39" s="127"/>
      <c r="K39" s="127"/>
      <c r="L39" s="127"/>
      <c r="M39" s="127"/>
      <c r="N39" s="253"/>
    </row>
    <row r="40" spans="1:14" s="2" customFormat="1" ht="15.75">
      <c r="A40" s="238" t="str">
        <f>1!A35</f>
        <v>1.1</v>
      </c>
      <c r="B40" s="170" t="str">
        <f>1!B35</f>
        <v>Реконструкция ВЛ-0,4 кВ ул.Свободы, п.Иноземцево, (и/н 0000450 и 0000451), СИП-2 3х35+1х54,6 - 2,35 км и СИП-4 2х16 - 2,97 км</v>
      </c>
      <c r="C40" s="125" t="str">
        <f>1!C35</f>
        <v>G_Gelezno_003</v>
      </c>
      <c r="D40" s="92"/>
      <c r="E40" s="127"/>
      <c r="F40" s="127"/>
      <c r="G40" s="127"/>
      <c r="H40" s="127"/>
      <c r="I40" s="127"/>
      <c r="J40" s="127"/>
      <c r="K40" s="127"/>
      <c r="L40" s="127"/>
      <c r="M40" s="127"/>
      <c r="N40" s="253"/>
    </row>
    <row r="41" spans="1:14" s="2" customFormat="1" ht="17.25" customHeight="1">
      <c r="A41" s="238" t="str">
        <f>1!A36</f>
        <v>1.1</v>
      </c>
      <c r="B41" s="170" t="str">
        <f>1!B36</f>
        <v>Реконструкция ВЛ-0,4 кВ ул.Свободы до озера (от ул.Шоссей-ной), п.Иноземцево, (и/н 0000453), СИП-2 3х35+1х54,6 - 2,26 км и СИП-4 2х16 - 2,17 км</v>
      </c>
      <c r="C41" s="125" t="str">
        <f>1!C36</f>
        <v>G_Gelezno_004</v>
      </c>
      <c r="D41" s="92"/>
      <c r="E41" s="127"/>
      <c r="F41" s="127"/>
      <c r="G41" s="127"/>
      <c r="H41" s="127"/>
      <c r="I41" s="127"/>
      <c r="J41" s="127"/>
      <c r="K41" s="127"/>
      <c r="L41" s="127"/>
      <c r="M41" s="127"/>
      <c r="N41" s="253"/>
    </row>
    <row r="42" spans="1:14" s="2" customFormat="1" ht="15.75">
      <c r="A42" s="238" t="str">
        <f>1!A37</f>
        <v>1.1</v>
      </c>
      <c r="B42" s="170" t="str">
        <f>1!B37</f>
        <v>Реконструкция ВЛ-0,4 кВ ул.60 лет Октября, п.Иноземцево, (и/н 0000329 и 0000330), СИП-2 3х35+1х54,6 - 0,836 км и СИП-4 2х16 - 2,2 км</v>
      </c>
      <c r="C42" s="125" t="str">
        <f>1!C37</f>
        <v>G_Gelezno_005</v>
      </c>
      <c r="D42" s="92"/>
      <c r="E42" s="127"/>
      <c r="F42" s="127"/>
      <c r="G42" s="127"/>
      <c r="H42" s="127"/>
      <c r="I42" s="127"/>
      <c r="J42" s="127"/>
      <c r="K42" s="127"/>
      <c r="L42" s="127"/>
      <c r="M42" s="127"/>
      <c r="N42" s="253"/>
    </row>
    <row r="43" spans="1:14" s="2" customFormat="1" ht="15.75">
      <c r="A43" s="238" t="str">
        <f>1!A38</f>
        <v>1.1</v>
      </c>
      <c r="B43" s="170" t="str">
        <f>1!B38</f>
        <v>Реконструкция ВЛ-0,4 кВ ул.К.Цеткин и/н 0000376  и  ул.Пушкина и/н 0000440 п.Иноземцево, СИП-2 3х35+1х54,6 - 2,02 км и СИП-4 2х16 - 1,42 км</v>
      </c>
      <c r="C43" s="125" t="str">
        <f>1!C38</f>
        <v>G_Gelezno_006</v>
      </c>
      <c r="D43" s="92"/>
      <c r="E43" s="127"/>
      <c r="F43" s="127"/>
      <c r="G43" s="127"/>
      <c r="H43" s="127"/>
      <c r="I43" s="127"/>
      <c r="J43" s="127"/>
      <c r="K43" s="127"/>
      <c r="L43" s="127"/>
      <c r="M43" s="127"/>
      <c r="N43" s="253"/>
    </row>
    <row r="44" spans="1:14" s="2" customFormat="1" ht="15.75">
      <c r="A44" s="238" t="str">
        <f>1!A39</f>
        <v>1.1</v>
      </c>
      <c r="B44" s="170" t="str">
        <f>1!B39</f>
        <v>Реконструкция ВЛ-0,4 кВ ул.Бахановича, г.Железноводск, (и/н 0000285), СИП-2 3х35+1х54,6 - 0,502км и СИП-4 2х16 - 0,784 км</v>
      </c>
      <c r="C44" s="125" t="str">
        <f>1!C39</f>
        <v>G_Gelezno_007</v>
      </c>
      <c r="D44" s="92"/>
      <c r="E44" s="127"/>
      <c r="F44" s="127"/>
      <c r="G44" s="127"/>
      <c r="H44" s="127"/>
      <c r="I44" s="127"/>
      <c r="J44" s="127"/>
      <c r="K44" s="127"/>
      <c r="L44" s="127"/>
      <c r="M44" s="127"/>
      <c r="N44" s="253"/>
    </row>
    <row r="45" spans="1:14" s="2" customFormat="1" ht="15.75">
      <c r="A45" s="238" t="str">
        <f>1!A40</f>
        <v>1.1</v>
      </c>
      <c r="B45" s="170" t="str">
        <f>1!B40</f>
        <v>Реконструкция ВЛ-0,4 кВ ул.Ивановская, г. Железноводск, (и/н 0000370 и 0000371 ), СИП-2 3х35+1х54,6 - 1,12 км и СИП-4 2х16 - 0,4 км</v>
      </c>
      <c r="C45" s="125" t="str">
        <f>1!C40</f>
        <v>G_Gelezno_008</v>
      </c>
      <c r="D45" s="92"/>
      <c r="E45" s="127"/>
      <c r="F45" s="127"/>
      <c r="G45" s="127"/>
      <c r="H45" s="127"/>
      <c r="I45" s="127"/>
      <c r="J45" s="127"/>
      <c r="K45" s="127"/>
      <c r="L45" s="127"/>
      <c r="M45" s="127"/>
      <c r="N45" s="253"/>
    </row>
    <row r="46" spans="1:14" s="2" customFormat="1" ht="15.75">
      <c r="A46" s="238" t="str">
        <f>1!A41</f>
        <v>1.1</v>
      </c>
      <c r="B46" s="170" t="str">
        <f>1!B41</f>
        <v>Реконструкция ВЛ-0,4 кВ ул.Бахановича от ул.Чапаева, г.Желез-новодск, (и/н 0000283), СИП-2 3х35+1х54,6 - 0,836 км и СИП-4 2х16 - 1,306 км</v>
      </c>
      <c r="C46" s="125" t="str">
        <f>1!C41</f>
        <v>G_Gelezno_009</v>
      </c>
      <c r="D46" s="92"/>
      <c r="E46" s="127"/>
      <c r="F46" s="127"/>
      <c r="G46" s="127"/>
      <c r="H46" s="127"/>
      <c r="I46" s="127"/>
      <c r="J46" s="127"/>
      <c r="K46" s="127"/>
      <c r="L46" s="127"/>
      <c r="M46" s="127"/>
      <c r="N46" s="253"/>
    </row>
    <row r="47" spans="1:14" s="2" customFormat="1" ht="8.25" customHeight="1">
      <c r="A47" s="238"/>
      <c r="B47" s="125"/>
      <c r="C47" s="125"/>
      <c r="D47" s="92"/>
      <c r="E47" s="127"/>
      <c r="F47" s="127"/>
      <c r="G47" s="127"/>
      <c r="H47" s="127"/>
      <c r="I47" s="127"/>
      <c r="J47" s="127"/>
      <c r="K47" s="127"/>
      <c r="L47" s="127"/>
      <c r="M47" s="127"/>
      <c r="N47" s="253"/>
    </row>
    <row r="48" spans="1:14" s="5" customFormat="1" ht="15.75">
      <c r="A48" s="239" t="str">
        <f>1!A43</f>
        <v>1.2</v>
      </c>
      <c r="B48" s="143" t="str">
        <f>1!B43</f>
        <v>Реконструкция трансформаторных и иных подстанций, всего, в том числе:</v>
      </c>
      <c r="C48" s="142" t="str">
        <f>1!C43</f>
        <v>Г</v>
      </c>
      <c r="D48" s="142"/>
      <c r="E48" s="144">
        <f>E49</f>
        <v>0</v>
      </c>
      <c r="F48" s="144">
        <v>0</v>
      </c>
      <c r="G48" s="144">
        <v>0</v>
      </c>
      <c r="H48" s="144">
        <v>0</v>
      </c>
      <c r="I48" s="144">
        <v>0</v>
      </c>
      <c r="J48" s="144">
        <f>J49</f>
        <v>0</v>
      </c>
      <c r="K48" s="144">
        <v>0</v>
      </c>
      <c r="L48" s="144">
        <v>0</v>
      </c>
      <c r="M48" s="144">
        <v>0</v>
      </c>
      <c r="N48" s="269">
        <v>0</v>
      </c>
    </row>
    <row r="49" spans="1:14" s="2" customFormat="1" ht="15.75">
      <c r="A49" s="238" t="str">
        <f>1!A44</f>
        <v>1.2</v>
      </c>
      <c r="B49" s="125" t="str">
        <f>1!B44</f>
        <v>Реконструкция в ТП-187  (и/н 0001379) (камера сборная серии КСО-393-13-400 - 1 шт. и камера сборная серии КСО-393-01 - 1шт.)</v>
      </c>
      <c r="C49" s="125" t="str">
        <f>1!C44</f>
        <v>G_Gelezno_010</v>
      </c>
      <c r="D49" s="92"/>
      <c r="E49" s="127"/>
      <c r="F49" s="127"/>
      <c r="G49" s="127"/>
      <c r="H49" s="127"/>
      <c r="I49" s="127"/>
      <c r="J49" s="127"/>
      <c r="K49" s="127"/>
      <c r="L49" s="127"/>
      <c r="M49" s="127"/>
      <c r="N49" s="253"/>
    </row>
    <row r="50" spans="1:14" s="2" customFormat="1" ht="9" customHeight="1">
      <c r="A50" s="238"/>
      <c r="B50" s="125"/>
      <c r="C50" s="125"/>
      <c r="D50" s="92"/>
      <c r="E50" s="127"/>
      <c r="F50" s="127"/>
      <c r="G50" s="127"/>
      <c r="H50" s="127"/>
      <c r="I50" s="127"/>
      <c r="J50" s="127"/>
      <c r="K50" s="127"/>
      <c r="L50" s="127"/>
      <c r="M50" s="127"/>
      <c r="N50" s="253"/>
    </row>
    <row r="51" spans="1:14" s="5" customFormat="1" ht="15.75">
      <c r="A51" s="239" t="str">
        <f>1!A46</f>
        <v>1.3</v>
      </c>
      <c r="B51" s="143" t="str">
        <f>1!B46</f>
        <v>Прочие инвестиционные проекты, всего, в том числе:</v>
      </c>
      <c r="C51" s="142" t="str">
        <f>1!C46</f>
        <v>Г</v>
      </c>
      <c r="D51" s="142"/>
      <c r="E51" s="144">
        <v>0</v>
      </c>
      <c r="F51" s="144">
        <v>0</v>
      </c>
      <c r="G51" s="144">
        <v>0</v>
      </c>
      <c r="H51" s="144">
        <v>0</v>
      </c>
      <c r="I51" s="144">
        <v>0</v>
      </c>
      <c r="J51" s="144">
        <v>0</v>
      </c>
      <c r="K51" s="144">
        <v>0</v>
      </c>
      <c r="L51" s="144">
        <v>0</v>
      </c>
      <c r="M51" s="144">
        <v>0</v>
      </c>
      <c r="N51" s="269">
        <v>0</v>
      </c>
    </row>
    <row r="52" spans="1:14" s="2" customFormat="1" ht="15.75">
      <c r="A52" s="238" t="str">
        <f>1!A47</f>
        <v>1.3</v>
      </c>
      <c r="B52" s="125" t="str">
        <f>1!B47</f>
        <v>Внутренний контур системы коммерческого учёта АСКУЭ   в   ТП-40; 15; 185; 28; 9  и  РП-3; 4; 5; 6.</v>
      </c>
      <c r="C52" s="125" t="str">
        <f>1!C47</f>
        <v>G_Gelezno_011</v>
      </c>
      <c r="D52" s="92"/>
      <c r="E52" s="127"/>
      <c r="F52" s="127"/>
      <c r="G52" s="127"/>
      <c r="H52" s="127"/>
      <c r="I52" s="127"/>
      <c r="J52" s="127"/>
      <c r="K52" s="127"/>
      <c r="L52" s="127"/>
      <c r="M52" s="127"/>
      <c r="N52" s="253"/>
    </row>
    <row r="53" spans="1:14" s="2" customFormat="1" ht="15.75">
      <c r="A53" s="238" t="str">
        <f>1!A48</f>
        <v>1.3</v>
      </c>
      <c r="B53" s="125" t="str">
        <f>1!B48</f>
        <v>Оборудование, не требующее монтажа</v>
      </c>
      <c r="C53" s="125" t="str">
        <f>1!C48</f>
        <v>G_Gelezno_012</v>
      </c>
      <c r="D53" s="92"/>
      <c r="E53" s="127"/>
      <c r="F53" s="127"/>
      <c r="G53" s="127"/>
      <c r="H53" s="127"/>
      <c r="I53" s="127"/>
      <c r="J53" s="127"/>
      <c r="K53" s="127"/>
      <c r="L53" s="127"/>
      <c r="M53" s="127"/>
      <c r="N53" s="253"/>
    </row>
    <row r="54" spans="1:14" s="2" customFormat="1" ht="8.25" customHeight="1">
      <c r="A54" s="238"/>
      <c r="B54" s="125"/>
      <c r="C54" s="125"/>
      <c r="D54" s="92"/>
      <c r="E54" s="127"/>
      <c r="F54" s="127"/>
      <c r="G54" s="127"/>
      <c r="H54" s="127"/>
      <c r="I54" s="127"/>
      <c r="J54" s="127"/>
      <c r="K54" s="127"/>
      <c r="L54" s="127"/>
      <c r="M54" s="127"/>
      <c r="N54" s="253"/>
    </row>
    <row r="55" spans="1:14" s="5" customFormat="1" ht="15.75">
      <c r="A55" s="239" t="str">
        <f>1!A50</f>
        <v>1.4</v>
      </c>
      <c r="B55" s="351" t="str">
        <f>1!B50</f>
        <v>Новое строительство, всего, в том числе:</v>
      </c>
      <c r="C55" s="142" t="str">
        <f>1!C50</f>
        <v>Г</v>
      </c>
      <c r="D55" s="142"/>
      <c r="E55" s="144">
        <f>E95+E96</f>
        <v>0</v>
      </c>
      <c r="F55" s="144">
        <v>0</v>
      </c>
      <c r="G55" s="144">
        <f>G95</f>
        <v>0</v>
      </c>
      <c r="H55" s="144">
        <v>0</v>
      </c>
      <c r="I55" s="144">
        <v>0</v>
      </c>
      <c r="J55" s="144">
        <v>0</v>
      </c>
      <c r="K55" s="144">
        <v>0</v>
      </c>
      <c r="L55" s="144">
        <v>0</v>
      </c>
      <c r="M55" s="144">
        <v>0</v>
      </c>
      <c r="N55" s="269">
        <v>0</v>
      </c>
    </row>
    <row r="56" spans="1:14" s="5" customFormat="1" ht="15.75">
      <c r="A56" s="239" t="str">
        <f>1!A51</f>
        <v>1.4.1</v>
      </c>
      <c r="B56" s="351" t="str">
        <f>1!B51</f>
        <v>Прочее новое строительство объектов электросетевого хозяйства</v>
      </c>
      <c r="C56" s="125"/>
      <c r="D56" s="142"/>
      <c r="E56" s="144"/>
      <c r="F56" s="144"/>
      <c r="G56" s="144"/>
      <c r="H56" s="144"/>
      <c r="I56" s="144"/>
      <c r="J56" s="144"/>
      <c r="K56" s="144"/>
      <c r="L56" s="144"/>
      <c r="M56" s="144"/>
      <c r="N56" s="269"/>
    </row>
    <row r="57" spans="1:14" s="5" customFormat="1" ht="15.75">
      <c r="A57" s="238" t="str">
        <f>1!A52</f>
        <v>1.4.1.1</v>
      </c>
      <c r="B57" s="170" t="str">
        <f>1!B52</f>
        <v>Строительство КЛ-10 кВ, Ф-187(С-2) от ПС"Машук" до ТП-187, п.Иноземцево , L=2,244 км (ААБлУ 3х240)</v>
      </c>
      <c r="C57" s="125" t="str">
        <f>1!C52</f>
        <v>G_Gelezno_013</v>
      </c>
      <c r="D57" s="142"/>
      <c r="E57" s="144"/>
      <c r="F57" s="144"/>
      <c r="G57" s="144"/>
      <c r="H57" s="144"/>
      <c r="I57" s="144"/>
      <c r="J57" s="144"/>
      <c r="K57" s="144"/>
      <c r="L57" s="144"/>
      <c r="M57" s="144"/>
      <c r="N57" s="269"/>
    </row>
    <row r="58" spans="1:14" s="5" customFormat="1" ht="15.75">
      <c r="A58" s="239" t="str">
        <f>1!A53</f>
        <v>1.4.2</v>
      </c>
      <c r="B58" s="351" t="str">
        <f>1!B53</f>
        <v>Прочее новое строительство, в счёт тех.присоединений</v>
      </c>
      <c r="C58" s="125"/>
      <c r="D58" s="142"/>
      <c r="E58" s="144"/>
      <c r="F58" s="144"/>
      <c r="G58" s="144"/>
      <c r="H58" s="144"/>
      <c r="I58" s="144"/>
      <c r="J58" s="144"/>
      <c r="K58" s="144"/>
      <c r="L58" s="144"/>
      <c r="M58" s="144"/>
      <c r="N58" s="269"/>
    </row>
    <row r="59" spans="1:14" s="5" customFormat="1" ht="15.75">
      <c r="A59" s="509" t="str">
        <f>1!A54</f>
        <v>1.4.2.1</v>
      </c>
      <c r="B59" s="170" t="str">
        <f>1!B54</f>
        <v>Строительство ВЛ-0,4 кВ от РУ-0,4 кВ ТП-185 до ВРУ офисного здания ул.Пушкина,2А, п.Иноземцево, L=0,235 км (СИП-2 3х50+1х54)</v>
      </c>
      <c r="C59" s="506" t="str">
        <f>1!C54</f>
        <v>G_Gelezno_ТР1</v>
      </c>
      <c r="D59" s="142"/>
      <c r="E59" s="144"/>
      <c r="F59" s="144"/>
      <c r="G59" s="144"/>
      <c r="H59" s="144"/>
      <c r="I59" s="144"/>
      <c r="J59" s="144"/>
      <c r="K59" s="144"/>
      <c r="L59" s="144"/>
      <c r="M59" s="144"/>
      <c r="N59" s="269"/>
    </row>
    <row r="60" spans="1:14" s="5" customFormat="1" ht="16.5" customHeight="1">
      <c r="A60" s="509" t="str">
        <f>1!A55</f>
        <v>1.4.2.2</v>
      </c>
      <c r="B60" s="170" t="str">
        <f>1!B55</f>
        <v>Строительство КЛ-0,4 кВ от РУ-0,4 кВ ТП-18 (С1) до ВРУ МКЖД ул.Косякина (район дома № 49), г.Железноводск, (Линия 1), L=0,143 км (ААБл 4х120)</v>
      </c>
      <c r="C60" s="506" t="str">
        <f>1!C55</f>
        <v>G_Gelezno_ТР2</v>
      </c>
      <c r="D60" s="142"/>
      <c r="E60" s="144"/>
      <c r="F60" s="144"/>
      <c r="G60" s="144"/>
      <c r="H60" s="144"/>
      <c r="I60" s="144"/>
      <c r="J60" s="144"/>
      <c r="K60" s="144"/>
      <c r="L60" s="144"/>
      <c r="M60" s="144"/>
      <c r="N60" s="269"/>
    </row>
    <row r="61" spans="1:14" s="5" customFormat="1" ht="17.25" customHeight="1">
      <c r="A61" s="509" t="str">
        <f>1!A56</f>
        <v>1.4.2.3</v>
      </c>
      <c r="B61" s="170" t="str">
        <f>1!B56</f>
        <v>Строительство КЛ-0,4 кВ от РУ-0,4 кВ ТП-18 (С2) до ВРУ МКЖД ул.Косякина (район дома № 49), г.Железноводск, (Линия 2), L=0,143 км (ААБл 4х120)</v>
      </c>
      <c r="C61" s="506" t="str">
        <f>1!C56</f>
        <v>G_Gelezno_ТР3</v>
      </c>
      <c r="D61" s="142"/>
      <c r="E61" s="144"/>
      <c r="F61" s="144"/>
      <c r="G61" s="144"/>
      <c r="H61" s="144"/>
      <c r="I61" s="144"/>
      <c r="J61" s="144"/>
      <c r="K61" s="144"/>
      <c r="L61" s="144"/>
      <c r="M61" s="144"/>
      <c r="N61" s="269"/>
    </row>
    <row r="62" spans="1:14" s="5" customFormat="1" ht="15.75">
      <c r="A62" s="509" t="str">
        <f>1!A57</f>
        <v>1.4.2.4</v>
      </c>
      <c r="B62" s="170" t="str">
        <f>1!B57</f>
        <v>Строительство КТП-247 в районе озера "Карас", п.Иноземцево (250 кВА)</v>
      </c>
      <c r="C62" s="506" t="str">
        <f>1!C57</f>
        <v>G_Gelezno_ТР4</v>
      </c>
      <c r="D62" s="142"/>
      <c r="E62" s="144"/>
      <c r="F62" s="144"/>
      <c r="G62" s="144"/>
      <c r="H62" s="144"/>
      <c r="I62" s="144"/>
      <c r="J62" s="144"/>
      <c r="K62" s="144"/>
      <c r="L62" s="144"/>
      <c r="M62" s="144"/>
      <c r="N62" s="269"/>
    </row>
    <row r="63" spans="1:14" s="5" customFormat="1" ht="31.5">
      <c r="A63" s="509" t="str">
        <f>1!A58</f>
        <v>1.4.2.5</v>
      </c>
      <c r="B63" s="170"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63" s="506" t="str">
        <f>1!C58</f>
        <v>G_Gelezno_ТР5</v>
      </c>
      <c r="D63" s="142"/>
      <c r="E63" s="144"/>
      <c r="F63" s="144"/>
      <c r="G63" s="144"/>
      <c r="H63" s="144"/>
      <c r="I63" s="144"/>
      <c r="J63" s="144"/>
      <c r="K63" s="144"/>
      <c r="L63" s="144"/>
      <c r="M63" s="144"/>
      <c r="N63" s="269"/>
    </row>
    <row r="64" spans="1:14" s="5" customFormat="1" ht="15.75">
      <c r="A64" s="509" t="str">
        <f>1!A59</f>
        <v>1.4.2.6</v>
      </c>
      <c r="B64" s="170" t="str">
        <f>1!B59</f>
        <v>Строительство КЛ-10 кВ от РУ-10 кВ КТП-224 до КТП-247, п.Иноземцево, L=0,918 км (АСБ 3х120)</v>
      </c>
      <c r="C64" s="506" t="str">
        <f>1!C59</f>
        <v>G_Gelezno_ТР6</v>
      </c>
      <c r="D64" s="142"/>
      <c r="E64" s="144"/>
      <c r="F64" s="144"/>
      <c r="G64" s="144"/>
      <c r="H64" s="144"/>
      <c r="I64" s="144"/>
      <c r="J64" s="144"/>
      <c r="K64" s="144"/>
      <c r="L64" s="144"/>
      <c r="M64" s="144"/>
      <c r="N64" s="269"/>
    </row>
    <row r="65" spans="1:14" s="5" customFormat="1" ht="15.75">
      <c r="A65" s="509" t="str">
        <f>1!A60</f>
        <v>1.4.2.7</v>
      </c>
      <c r="B65" s="170" t="str">
        <f>1!B60</f>
        <v>Строительство КЛ-0,4 кВ от РУ-0,4 кВ ТП-50 (С-1) до ВРУ МКЖД по ул.Ленина,49(линия 1), г.Железноводск, L=0,061 км (АВБбШв 4х240)</v>
      </c>
      <c r="C65" s="506" t="str">
        <f>1!C60</f>
        <v>G_Gelezno_ТР7</v>
      </c>
      <c r="D65" s="142"/>
      <c r="E65" s="144"/>
      <c r="F65" s="144"/>
      <c r="G65" s="144"/>
      <c r="H65" s="144"/>
      <c r="I65" s="144"/>
      <c r="J65" s="144"/>
      <c r="K65" s="144"/>
      <c r="L65" s="144"/>
      <c r="M65" s="144"/>
      <c r="N65" s="269"/>
    </row>
    <row r="66" spans="1:14" s="5" customFormat="1" ht="15.75">
      <c r="A66" s="509" t="str">
        <f>1!A61</f>
        <v>1.4.2.8</v>
      </c>
      <c r="B66" s="170" t="str">
        <f>1!B61</f>
        <v>Строительство КЛ-0,4 кВ от РУ-0,4 кВ ТП-50(С-2) до ВРУ МКЖД по ул.Ленина,49(линия 2), г.Железноводск, L=0,061 км (АВБбШв 4х240)</v>
      </c>
      <c r="C66" s="506" t="str">
        <f>1!C61</f>
        <v>G_Gelezno_ТР8</v>
      </c>
      <c r="D66" s="142"/>
      <c r="E66" s="144"/>
      <c r="F66" s="144"/>
      <c r="G66" s="144"/>
      <c r="H66" s="144"/>
      <c r="I66" s="144"/>
      <c r="J66" s="144"/>
      <c r="K66" s="144"/>
      <c r="L66" s="144"/>
      <c r="M66" s="144"/>
      <c r="N66" s="269"/>
    </row>
    <row r="67" spans="1:14" s="5" customFormat="1" ht="15.75">
      <c r="A67" s="509" t="str">
        <f>1!A62</f>
        <v>1.4.2.9</v>
      </c>
      <c r="B67" s="170" t="str">
        <f>1!B62</f>
        <v>Строительство КТП-105 ул.Октябрьская, 96 Б, п.Иноземцево (250 кВА)</v>
      </c>
      <c r="C67" s="506" t="str">
        <f>1!C62</f>
        <v>G_Gelezno_ТР9</v>
      </c>
      <c r="D67" s="142"/>
      <c r="E67" s="144"/>
      <c r="F67" s="144"/>
      <c r="G67" s="144"/>
      <c r="H67" s="144"/>
      <c r="I67" s="144"/>
      <c r="J67" s="144"/>
      <c r="K67" s="144"/>
      <c r="L67" s="144"/>
      <c r="M67" s="144"/>
      <c r="N67" s="269"/>
    </row>
    <row r="68" spans="1:14" s="5" customFormat="1" ht="31.5">
      <c r="A68" s="509" t="str">
        <f>1!A63</f>
        <v>1.4.2.10</v>
      </c>
      <c r="B68" s="170" t="str">
        <f>1!B63</f>
        <v>Строительство КЛ-0,4 кВ от РП-2 (С-1) до ВРУ тренировочной площадки стадииона "Спартак" ул.Калинина,3 (линия 1), г.Железноводск, L= 0,245 км (АВБбШв 4х240)</v>
      </c>
      <c r="C68" s="506" t="str">
        <f>1!C63</f>
        <v>G_Gelezno_ТР10</v>
      </c>
      <c r="D68" s="142"/>
      <c r="E68" s="144"/>
      <c r="F68" s="144"/>
      <c r="G68" s="144"/>
      <c r="H68" s="144"/>
      <c r="I68" s="144"/>
      <c r="J68" s="144"/>
      <c r="K68" s="144"/>
      <c r="L68" s="144"/>
      <c r="M68" s="144"/>
      <c r="N68" s="269"/>
    </row>
    <row r="69" spans="1:14" s="5" customFormat="1" ht="31.5">
      <c r="A69" s="509" t="str">
        <f>1!A64</f>
        <v>1.4.2.11</v>
      </c>
      <c r="B69" s="170" t="str">
        <f>1!B64</f>
        <v>Строительство КЛ-0,4 кВ от РП-2 (С-2) до ВРУ тренировочной площадки стадиона "Спартак" ул.Калинина,3 (линия 2), г.Железноводск, L= 0,245 км (АВБбШв 4х240)</v>
      </c>
      <c r="C69" s="506" t="str">
        <f>1!C64</f>
        <v>G_Gelezno_ТР11</v>
      </c>
      <c r="D69" s="142"/>
      <c r="E69" s="144"/>
      <c r="F69" s="144"/>
      <c r="G69" s="144"/>
      <c r="H69" s="144"/>
      <c r="I69" s="144"/>
      <c r="J69" s="144"/>
      <c r="K69" s="144"/>
      <c r="L69" s="144"/>
      <c r="M69" s="144"/>
      <c r="N69" s="269"/>
    </row>
    <row r="70" spans="1:14" s="5" customFormat="1" ht="15.75">
      <c r="A70" s="509" t="str">
        <f>1!A65</f>
        <v>1.4.2.12</v>
      </c>
      <c r="B70" s="170" t="str">
        <f>1!B65</f>
        <v>Строительство КТП-248 ул.Тихая,8, п.Иноземцево (ТМГ-250 кВА)</v>
      </c>
      <c r="C70" s="506" t="str">
        <f>1!C65</f>
        <v>G_Gelezno_ТР12</v>
      </c>
      <c r="D70" s="142"/>
      <c r="E70" s="144"/>
      <c r="F70" s="144"/>
      <c r="G70" s="144"/>
      <c r="H70" s="144"/>
      <c r="I70" s="144"/>
      <c r="J70" s="144"/>
      <c r="K70" s="144"/>
      <c r="L70" s="144"/>
      <c r="M70" s="144"/>
      <c r="N70" s="269"/>
    </row>
    <row r="71" spans="1:14" s="5" customFormat="1" ht="15.75">
      <c r="A71" s="509" t="str">
        <f>1!A66</f>
        <v>1.4.2.13</v>
      </c>
      <c r="B71" s="170" t="str">
        <f>1!B66</f>
        <v>Строительство ВЛ-0,4 кВ от КТП-233 до ВРУ магазина ул.Вокзальная, 46А, п.Иноземцево, L= 0,408 км (СИП-2 3х50+1х54,6)</v>
      </c>
      <c r="C71" s="506" t="str">
        <f>1!C66</f>
        <v>G_Gelezno_ТР13</v>
      </c>
      <c r="D71" s="142"/>
      <c r="E71" s="144"/>
      <c r="F71" s="144"/>
      <c r="G71" s="144"/>
      <c r="H71" s="144"/>
      <c r="I71" s="144"/>
      <c r="J71" s="144"/>
      <c r="K71" s="144"/>
      <c r="L71" s="144"/>
      <c r="M71" s="144"/>
      <c r="N71" s="269"/>
    </row>
    <row r="72" spans="1:14" s="5" customFormat="1" ht="15.75">
      <c r="A72" s="509" t="str">
        <f>1!A67</f>
        <v>1.4.2.14</v>
      </c>
      <c r="B72" s="170" t="str">
        <f>1!B67</f>
        <v>Строительство ВЛ-0,4 кВ от РУ-0,4кВ ТП-75 (С-1) по ул.Ленина район дома 123, г.Железноводск, L= 0,143 км (СИП-2 3х50+1х54,6)</v>
      </c>
      <c r="C72" s="506" t="str">
        <f>1!C67</f>
        <v>G_Gelezno_ТР14</v>
      </c>
      <c r="D72" s="142"/>
      <c r="E72" s="144"/>
      <c r="F72" s="144"/>
      <c r="G72" s="144"/>
      <c r="H72" s="144"/>
      <c r="I72" s="144"/>
      <c r="J72" s="144"/>
      <c r="K72" s="144"/>
      <c r="L72" s="144"/>
      <c r="M72" s="144"/>
      <c r="N72" s="269"/>
    </row>
    <row r="73" spans="1:14" s="5" customFormat="1" ht="15.75">
      <c r="A73" s="509" t="str">
        <f>1!A68</f>
        <v>1.4.2.15</v>
      </c>
      <c r="B73" s="170" t="str">
        <f>1!B68</f>
        <v>Строительство ВЛ-0,4кВ от РУ-0,4 кВ ТП-75 (С-2) по ул.Ленина район дома 123, г.Железноводск, L= 0,143 км (СИП-2 3х50+1х54,6)</v>
      </c>
      <c r="C73" s="506" t="str">
        <f>1!C68</f>
        <v>G_Gelezno_ТР15</v>
      </c>
      <c r="D73" s="142"/>
      <c r="E73" s="144"/>
      <c r="F73" s="144"/>
      <c r="G73" s="144"/>
      <c r="H73" s="144"/>
      <c r="I73" s="144"/>
      <c r="J73" s="144"/>
      <c r="K73" s="144"/>
      <c r="L73" s="144"/>
      <c r="M73" s="144"/>
      <c r="N73" s="269"/>
    </row>
    <row r="74" spans="1:14" s="5" customFormat="1" ht="15.75">
      <c r="A74" s="509" t="str">
        <f>1!A69</f>
        <v>1.4.2.16</v>
      </c>
      <c r="B74" s="170" t="str">
        <f>1!B69</f>
        <v>Строительство КЛ-0,4 кВ от ВРУ-1 до ВРУ-2 в ЖК "Вишнёвый сад" (2-ая очередь), п.Иноземцево, L= 0,04 км (АВБбШв 4х120)</v>
      </c>
      <c r="C74" s="506" t="str">
        <f>1!C69</f>
        <v>G_Gelezno_ТР16</v>
      </c>
      <c r="D74" s="142"/>
      <c r="E74" s="144"/>
      <c r="F74" s="144"/>
      <c r="G74" s="144"/>
      <c r="H74" s="144"/>
      <c r="I74" s="144"/>
      <c r="J74" s="144"/>
      <c r="K74" s="144"/>
      <c r="L74" s="144"/>
      <c r="M74" s="144"/>
      <c r="N74" s="269"/>
    </row>
    <row r="75" spans="1:14" s="5" customFormat="1" ht="15.75">
      <c r="A75" s="509" t="str">
        <f>1!A70</f>
        <v>1.4.2.17</v>
      </c>
      <c r="B75" s="170" t="str">
        <f>1!B70</f>
        <v>Строительство КЛ-0,4кВ от ВРУ-11 до ВРУ-12 в ЖК"Вишнёвый сад" (2-ая очередь), п.Иноземцево, L= 0,035 км (АВБбШв 4х95)</v>
      </c>
      <c r="C75" s="506" t="str">
        <f>1!C70</f>
        <v>G_Gelezno_ТР17</v>
      </c>
      <c r="D75" s="142"/>
      <c r="E75" s="144"/>
      <c r="F75" s="144"/>
      <c r="G75" s="144"/>
      <c r="H75" s="144"/>
      <c r="I75" s="144"/>
      <c r="J75" s="144"/>
      <c r="K75" s="144"/>
      <c r="L75" s="144"/>
      <c r="M75" s="144"/>
      <c r="N75" s="269"/>
    </row>
    <row r="76" spans="1:14" s="5" customFormat="1" ht="15.75">
      <c r="A76" s="509" t="str">
        <f>1!A71</f>
        <v>1.4.2.18</v>
      </c>
      <c r="B76" s="170" t="str">
        <f>1!B71</f>
        <v>Строительство КЛ-0,4кВ от ВРУ-13 до ВРУ-14 в ЖК"Вишнёвый сад" (2-ая очередь), п.Иноземцево, L= 0,035 км (АВБбШв 4х95)</v>
      </c>
      <c r="C76" s="506" t="str">
        <f>1!C71</f>
        <v>G_Gelezno_ТР18</v>
      </c>
      <c r="D76" s="142"/>
      <c r="E76" s="144"/>
      <c r="F76" s="144"/>
      <c r="G76" s="144"/>
      <c r="H76" s="144"/>
      <c r="I76" s="144"/>
      <c r="J76" s="144"/>
      <c r="K76" s="144"/>
      <c r="L76" s="144"/>
      <c r="M76" s="144"/>
      <c r="N76" s="269"/>
    </row>
    <row r="77" spans="1:14" s="5" customFormat="1" ht="15.75">
      <c r="A77" s="509" t="str">
        <f>1!A72</f>
        <v>1.4.2.19</v>
      </c>
      <c r="B77" s="170" t="str">
        <f>1!B72</f>
        <v>Строительство КЛ-0,4 кВ от ВРУ-9 до ВРУ-10 в ЖК "Вишнёвый сад" (2-ая очередь), п.Иноземцево, L= 0,035 км (АВБбШв 4х95)</v>
      </c>
      <c r="C77" s="506" t="str">
        <f>1!C72</f>
        <v>G_Gelezno_ТР19</v>
      </c>
      <c r="D77" s="142"/>
      <c r="E77" s="144"/>
      <c r="F77" s="144"/>
      <c r="G77" s="144"/>
      <c r="H77" s="144"/>
      <c r="I77" s="144"/>
      <c r="J77" s="144"/>
      <c r="K77" s="144"/>
      <c r="L77" s="144"/>
      <c r="M77" s="144"/>
      <c r="N77" s="269"/>
    </row>
    <row r="78" spans="1:14" s="5" customFormat="1" ht="15.75">
      <c r="A78" s="509" t="str">
        <f>1!A73</f>
        <v>1.4.2.20</v>
      </c>
      <c r="B78" s="170" t="str">
        <f>1!B73</f>
        <v>Строительство КЛ-0,4 кВ от РУ-0,4 кВ 2КТП-244 до ВРУ-10 в ЖК "Вишнёвый сад" (2-ая очередь), п.Иноземцево, L= 0,19 км (АВБбШв 4х120)</v>
      </c>
      <c r="C78" s="506" t="str">
        <f>1!C73</f>
        <v>G_Gelezno_ТР20</v>
      </c>
      <c r="D78" s="142"/>
      <c r="E78" s="144"/>
      <c r="F78" s="144"/>
      <c r="G78" s="144"/>
      <c r="H78" s="144"/>
      <c r="I78" s="144"/>
      <c r="J78" s="144"/>
      <c r="K78" s="144"/>
      <c r="L78" s="144"/>
      <c r="M78" s="144"/>
      <c r="N78" s="269"/>
    </row>
    <row r="79" spans="1:14" s="5" customFormat="1" ht="15.75">
      <c r="A79" s="509" t="str">
        <f>1!A74</f>
        <v>1.4.2.21</v>
      </c>
      <c r="B79" s="170" t="str">
        <f>1!B74</f>
        <v>Строительство КЛ-0,4 кВ от РУ-0,4 кВ 2КТП-244 до ВРУ-11 в ЖК "Вишнёвый сад" (2-ая очередь), п.Иноземцево, L= 0,14 км (АВБбШв 4х95)</v>
      </c>
      <c r="C79" s="506" t="str">
        <f>1!C74</f>
        <v>G_Gelezno_ТР21</v>
      </c>
      <c r="D79" s="142"/>
      <c r="E79" s="144"/>
      <c r="F79" s="144"/>
      <c r="G79" s="144"/>
      <c r="H79" s="144"/>
      <c r="I79" s="144"/>
      <c r="J79" s="144"/>
      <c r="K79" s="144"/>
      <c r="L79" s="144"/>
      <c r="M79" s="144"/>
      <c r="N79" s="269"/>
    </row>
    <row r="80" spans="1:14" s="5" customFormat="1" ht="15.75">
      <c r="A80" s="509" t="str">
        <f>1!A75</f>
        <v>1.4.2.22</v>
      </c>
      <c r="B80" s="170" t="str">
        <f>1!B75</f>
        <v>Строительство КЛ-0,4 кВ от РУ-0,4 кВ 2КТП-244 до ВРУ-13 в ЖК "Вишнёвый сад" (2-ая очередь), п.Иноземцево, L= 0,06 км (АВБбШв 4х120)</v>
      </c>
      <c r="C80" s="506" t="str">
        <f>1!C75</f>
        <v>G_Gelezno_ТР22</v>
      </c>
      <c r="D80" s="142"/>
      <c r="E80" s="144"/>
      <c r="F80" s="144"/>
      <c r="G80" s="144"/>
      <c r="H80" s="144"/>
      <c r="I80" s="144"/>
      <c r="J80" s="144"/>
      <c r="K80" s="144"/>
      <c r="L80" s="144"/>
      <c r="M80" s="144"/>
      <c r="N80" s="269"/>
    </row>
    <row r="81" spans="1:14" s="5" customFormat="1" ht="15.75">
      <c r="A81" s="509" t="str">
        <f>1!A76</f>
        <v>1.4.2.23</v>
      </c>
      <c r="B81" s="170" t="str">
        <f>1!B76</f>
        <v>Строительство КЛ-0,4 кВ от РУ-0,4 кВ 2КТП-244 до ВРУ-14 в ЖК "Вишнёвый сад" (2-ая очередь), п.Иноземцево, L= 0,1 км (АВБбШв 4х120)</v>
      </c>
      <c r="C81" s="506" t="str">
        <f>1!C76</f>
        <v>G_Gelezno_ТР23</v>
      </c>
      <c r="D81" s="142"/>
      <c r="E81" s="144"/>
      <c r="F81" s="144"/>
      <c r="G81" s="144"/>
      <c r="H81" s="144"/>
      <c r="I81" s="144"/>
      <c r="J81" s="144"/>
      <c r="K81" s="144"/>
      <c r="L81" s="144"/>
      <c r="M81" s="144"/>
      <c r="N81" s="269"/>
    </row>
    <row r="82" spans="1:14" s="5" customFormat="1" ht="15.75">
      <c r="A82" s="509" t="str">
        <f>1!A77</f>
        <v>1.4.2.24</v>
      </c>
      <c r="B82" s="170" t="str">
        <f>1!B77</f>
        <v>Строительство КЛ-0,4 кВ от РУ-0,4 кВ 2КТП-244 до ВРУ-16 в ЖК "Вишнёвый сад" (2-ая очередь), п.Иноземцево, L= 0,11 км (АВБбШв 4х95)</v>
      </c>
      <c r="C82" s="506" t="str">
        <f>1!C77</f>
        <v>G_Gelezno_ТР24</v>
      </c>
      <c r="D82" s="142"/>
      <c r="E82" s="144"/>
      <c r="F82" s="144"/>
      <c r="G82" s="144"/>
      <c r="H82" s="144"/>
      <c r="I82" s="144"/>
      <c r="J82" s="144"/>
      <c r="K82" s="144"/>
      <c r="L82" s="144"/>
      <c r="M82" s="144"/>
      <c r="N82" s="269"/>
    </row>
    <row r="83" spans="1:14" s="5" customFormat="1" ht="15.75">
      <c r="A83" s="509" t="str">
        <f>1!A78</f>
        <v>1.4.2.25</v>
      </c>
      <c r="B83" s="170" t="str">
        <f>1!B78</f>
        <v>Строительство КЛ-0,4 кВ от РУ-0,4 кВ 2КТП-244 до ВРУ-9 в ЖК "Вишнёвый сад" (2-ая очередь), п.Иноземцево, L= 0,215 км (АВБбШв 4х120)</v>
      </c>
      <c r="C83" s="506" t="str">
        <f>1!C78</f>
        <v>G_Gelezno_ТР25</v>
      </c>
      <c r="D83" s="142"/>
      <c r="E83" s="144"/>
      <c r="F83" s="144"/>
      <c r="G83" s="144"/>
      <c r="H83" s="144"/>
      <c r="I83" s="144"/>
      <c r="J83" s="144"/>
      <c r="K83" s="144"/>
      <c r="L83" s="144"/>
      <c r="M83" s="144"/>
      <c r="N83" s="269"/>
    </row>
    <row r="84" spans="1:14" s="5" customFormat="1" ht="15.75">
      <c r="A84" s="509" t="str">
        <f>1!A79</f>
        <v>1.4.2.26</v>
      </c>
      <c r="B84" s="170" t="str">
        <f>1!B79</f>
        <v>Строительство КЛ-0,4 кВ от ВРУ-1 МКЖД до ВРУ-2 МКЖД ул.Тихая,8, п.Иноземцево, L= 0,071 км (АВВГ 4х35)</v>
      </c>
      <c r="C84" s="506" t="str">
        <f>1!C79</f>
        <v>G_Gelezno_ТР26</v>
      </c>
      <c r="D84" s="142"/>
      <c r="E84" s="144"/>
      <c r="F84" s="144"/>
      <c r="G84" s="144"/>
      <c r="H84" s="144"/>
      <c r="I84" s="144"/>
      <c r="J84" s="144"/>
      <c r="K84" s="144"/>
      <c r="L84" s="144"/>
      <c r="M84" s="144"/>
      <c r="N84" s="269"/>
    </row>
    <row r="85" spans="1:14" s="5" customFormat="1" ht="15.75">
      <c r="A85" s="509" t="str">
        <f>1!A80</f>
        <v>1.4.2.27</v>
      </c>
      <c r="B85" s="170" t="str">
        <f>1!B80</f>
        <v>Строительство КЛ-0,4 кВ от ВРУ-2 МКЖД до ВРУ-3 МКЖД ул.Тихая,8, п.Иноземцево, L= 0,025 км (АВВГ 4х35)</v>
      </c>
      <c r="C85" s="506" t="str">
        <f>1!C80</f>
        <v>G_Gelezno_ТР27</v>
      </c>
      <c r="D85" s="142"/>
      <c r="E85" s="144"/>
      <c r="F85" s="144"/>
      <c r="G85" s="144"/>
      <c r="H85" s="144"/>
      <c r="I85" s="144"/>
      <c r="J85" s="144"/>
      <c r="K85" s="144"/>
      <c r="L85" s="144"/>
      <c r="M85" s="144"/>
      <c r="N85" s="269"/>
    </row>
    <row r="86" spans="1:14" s="5" customFormat="1" ht="15.75">
      <c r="A86" s="509" t="str">
        <f>1!A81</f>
        <v>1.4.2.28</v>
      </c>
      <c r="B86" s="170" t="str">
        <f>1!B81</f>
        <v>Строительство КЛ-0,4 кВ от ВРУ-3 МКЖД до РУ-0,4 кВ КТП-248 ул.Тихая,8, п.Иноземцево, L= 0,107 км (АВВГ 4х35)</v>
      </c>
      <c r="C86" s="506" t="str">
        <f>1!C81</f>
        <v>G_Gelezno_ТР28</v>
      </c>
      <c r="D86" s="142"/>
      <c r="E86" s="144"/>
      <c r="F86" s="144"/>
      <c r="G86" s="144"/>
      <c r="H86" s="144"/>
      <c r="I86" s="144"/>
      <c r="J86" s="144"/>
      <c r="K86" s="144"/>
      <c r="L86" s="144"/>
      <c r="M86" s="144"/>
      <c r="N86" s="269"/>
    </row>
    <row r="87" spans="1:14" s="5" customFormat="1" ht="15.75">
      <c r="A87" s="509" t="str">
        <f>1!A82</f>
        <v>1.4.2.29</v>
      </c>
      <c r="B87" s="170" t="str">
        <f>1!B82</f>
        <v>Строительство КЛ-0,4 кВ от РУ-0,4 кВ КТП-248 до ВРУ-1 МКЖД ул.Тихая,8, п.Иноземцево, L= 0,102 км (АВВГ 4х35)</v>
      </c>
      <c r="C87" s="506" t="str">
        <f>1!C82</f>
        <v>G_Gelezno_ТР29</v>
      </c>
      <c r="D87" s="142"/>
      <c r="E87" s="144"/>
      <c r="F87" s="144"/>
      <c r="G87" s="144"/>
      <c r="H87" s="144"/>
      <c r="I87" s="144"/>
      <c r="J87" s="144"/>
      <c r="K87" s="144"/>
      <c r="L87" s="144"/>
      <c r="M87" s="144"/>
      <c r="N87" s="269"/>
    </row>
    <row r="88" spans="1:14" s="5" customFormat="1" ht="15.75">
      <c r="A88" s="509" t="str">
        <f>1!A83</f>
        <v>1.4.2.30</v>
      </c>
      <c r="B88" s="170" t="str">
        <f>1!B83</f>
        <v>Строительство КЛ-0,4 кВ от РУ-0,4 кВ КТП-105 до РЩ МКЖД ул.Октябрьская,96 Б, г.Железноводск, L= 0,186 км (АВБбШВ 4х95)</v>
      </c>
      <c r="C88" s="506" t="str">
        <f>1!C83</f>
        <v>G_Gelezno_ТР30</v>
      </c>
      <c r="D88" s="142"/>
      <c r="E88" s="144"/>
      <c r="F88" s="144"/>
      <c r="G88" s="144"/>
      <c r="H88" s="144"/>
      <c r="I88" s="144"/>
      <c r="J88" s="144"/>
      <c r="K88" s="144"/>
      <c r="L88" s="144"/>
      <c r="M88" s="144"/>
      <c r="N88" s="269"/>
    </row>
    <row r="89" spans="1:14" s="5" customFormat="1" ht="15.75">
      <c r="A89" s="509" t="str">
        <f>1!A84</f>
        <v>1.4.2.31</v>
      </c>
      <c r="B89" s="170" t="str">
        <f>1!B84</f>
        <v>Строительство КЛ-0,4 кВ от ВРУ-12 до ВРУ-2 в ЖК "Вишнёвый сад" (2-ая очередь), п.Иноземцево, L= 0,1 км (АВБбШВ 4х150)</v>
      </c>
      <c r="C89" s="506" t="str">
        <f>1!C84</f>
        <v>G_Gelezno_ТР31</v>
      </c>
      <c r="D89" s="142"/>
      <c r="E89" s="144"/>
      <c r="F89" s="144"/>
      <c r="G89" s="144"/>
      <c r="H89" s="144"/>
      <c r="I89" s="144"/>
      <c r="J89" s="144"/>
      <c r="K89" s="144"/>
      <c r="L89" s="144"/>
      <c r="M89" s="144"/>
      <c r="N89" s="269"/>
    </row>
    <row r="90" spans="1:14" s="5" customFormat="1" ht="15.75">
      <c r="A90" s="509" t="str">
        <f>1!A85</f>
        <v>1.4.2.32</v>
      </c>
      <c r="B90" s="170" t="str">
        <f>1!B85</f>
        <v>Строительство КЛ-0,4кВ от ВРУ-16 до ВРУ-10 в ЖК"Вишнёвый сад" (2-ая очередь), п.Иноземцево, L= 0,035 км (АВБбШВ 4х95)</v>
      </c>
      <c r="C90" s="506" t="str">
        <f>1!C85</f>
        <v>G_Gelezno_ТР32</v>
      </c>
      <c r="D90" s="142"/>
      <c r="E90" s="144"/>
      <c r="F90" s="144"/>
      <c r="G90" s="144"/>
      <c r="H90" s="144"/>
      <c r="I90" s="144"/>
      <c r="J90" s="144"/>
      <c r="K90" s="144"/>
      <c r="L90" s="144"/>
      <c r="M90" s="144"/>
      <c r="N90" s="269"/>
    </row>
    <row r="91" spans="1:14" s="5" customFormat="1" ht="15.75">
      <c r="A91" s="509" t="str">
        <f>1!A86</f>
        <v>1.4.2.33</v>
      </c>
      <c r="B91" s="170" t="str">
        <f>1!B86</f>
        <v>Строительство КЛ-0,4 кВ от опоры ВЛ-0,4 кВ № 21 до ВРУ-1 в ЖК "Вишнёвый сад" (2-ая очередь), п.Иноземцево, L= 0,05 км (АВБбШВ 4х120)</v>
      </c>
      <c r="C91" s="506" t="str">
        <f>1!C86</f>
        <v>G_Gelezno_ТР33</v>
      </c>
      <c r="D91" s="142"/>
      <c r="E91" s="144"/>
      <c r="F91" s="144"/>
      <c r="G91" s="144"/>
      <c r="H91" s="144"/>
      <c r="I91" s="144"/>
      <c r="J91" s="144"/>
      <c r="K91" s="144"/>
      <c r="L91" s="144"/>
      <c r="M91" s="144"/>
      <c r="N91" s="269"/>
    </row>
    <row r="92" spans="1:14" s="5" customFormat="1" ht="15.75">
      <c r="A92" s="509" t="str">
        <f>1!A87</f>
        <v>1.4.2.34</v>
      </c>
      <c r="B92" s="170" t="str">
        <f>1!B87</f>
        <v>Строительство КЛ-0,4 кВ от РУ-0,4 кВ 2КТП-244 до ВРУ-12 в ЖК "Вишнёвый сад" (2-ая очередь), п.Иноземцево, L= 0,17 км (АВБбШВ 4х185) км</v>
      </c>
      <c r="C92" s="506" t="str">
        <f>1!C87</f>
        <v>G_Gelezno_ТР34</v>
      </c>
      <c r="D92" s="142"/>
      <c r="E92" s="144"/>
      <c r="F92" s="144"/>
      <c r="G92" s="144"/>
      <c r="H92" s="144"/>
      <c r="I92" s="144"/>
      <c r="J92" s="144"/>
      <c r="K92" s="144"/>
      <c r="L92" s="144"/>
      <c r="M92" s="144"/>
      <c r="N92" s="269"/>
    </row>
    <row r="93" spans="1:14" s="5" customFormat="1" ht="15.75">
      <c r="A93" s="509" t="str">
        <f>1!A88</f>
        <v>1.4.2.35</v>
      </c>
      <c r="B93" s="170" t="str">
        <f>1!B88</f>
        <v>Строительство КЛ-0,4 кВ от РУ-0,4 кВ 2КТП-244 до ВРУ-15 в ЖК "Вишнёвый сад" (2-ая очередь), п.Иноземцево, L= 0,08 км (АВБбШВ 4х95)</v>
      </c>
      <c r="C93" s="506" t="str">
        <f>1!C88</f>
        <v>G_Gelezno_ТР35</v>
      </c>
      <c r="D93" s="142"/>
      <c r="E93" s="144"/>
      <c r="F93" s="144"/>
      <c r="G93" s="144"/>
      <c r="H93" s="144"/>
      <c r="I93" s="144"/>
      <c r="J93" s="144"/>
      <c r="K93" s="144"/>
      <c r="L93" s="144"/>
      <c r="M93" s="144"/>
      <c r="N93" s="269"/>
    </row>
    <row r="94" spans="1:14" s="5" customFormat="1" ht="31.5">
      <c r="A94" s="509" t="str">
        <f>1!A89</f>
        <v>1.4.2.36</v>
      </c>
      <c r="B94" s="170" t="str">
        <f>1!B89</f>
        <v>Строительство ВЛ-0,4 кВ от РУ-0,4 кВ КТП-241 ЖК "Вишнёвый сад" (2-ая очередь), п.Иноземцево, СИП-2 3х150+1х95 - 0,204 км СИП-2 3х120+1х95 - 0,275 км и СИП-2 3х95+1х70 - 0,408 км</v>
      </c>
      <c r="C94" s="506" t="str">
        <f>1!C89</f>
        <v>G_Gelezno_ТР36</v>
      </c>
      <c r="D94" s="142"/>
      <c r="E94" s="144"/>
      <c r="F94" s="144"/>
      <c r="G94" s="144"/>
      <c r="H94" s="144"/>
      <c r="I94" s="144"/>
      <c r="J94" s="144"/>
      <c r="K94" s="144"/>
      <c r="L94" s="144"/>
      <c r="M94" s="144"/>
      <c r="N94" s="269"/>
    </row>
    <row r="95" spans="1:14" s="2" customFormat="1" ht="15.75">
      <c r="A95" s="509" t="str">
        <f>1!A90</f>
        <v>1.4.2.37</v>
      </c>
      <c r="B95" s="170" t="str">
        <f>1!B90</f>
        <v>Строительство КТП-249 пер.Промышленный,24, п.Иноземцево (ТМГ-630 кВА)(Линия 2), L=0,143 км</v>
      </c>
      <c r="C95" s="506" t="str">
        <f>1!C90</f>
        <v>G_Gelezno_ТР37</v>
      </c>
      <c r="D95" s="92"/>
      <c r="E95" s="127"/>
      <c r="F95" s="127"/>
      <c r="G95" s="127"/>
      <c r="H95" s="127"/>
      <c r="I95" s="127"/>
      <c r="J95" s="127"/>
      <c r="K95" s="127"/>
      <c r="L95" s="127"/>
      <c r="M95" s="127"/>
      <c r="N95" s="253"/>
    </row>
    <row r="96" spans="1:14" s="2" customFormat="1" ht="9.75" customHeight="1" thickBot="1">
      <c r="A96" s="241"/>
      <c r="B96" s="254"/>
      <c r="C96" s="242"/>
      <c r="D96" s="259"/>
      <c r="E96" s="243"/>
      <c r="F96" s="243"/>
      <c r="G96" s="243"/>
      <c r="H96" s="243"/>
      <c r="I96" s="243"/>
      <c r="J96" s="243"/>
      <c r="K96" s="243"/>
      <c r="L96" s="243"/>
      <c r="M96" s="243"/>
      <c r="N96" s="255"/>
    </row>
    <row r="97" spans="1:14" s="2" customFormat="1" ht="15.75">
      <c r="A97" s="233"/>
      <c r="B97" s="252"/>
      <c r="C97" s="234"/>
      <c r="D97" s="179"/>
      <c r="E97" s="235"/>
      <c r="F97" s="235"/>
      <c r="G97" s="235"/>
      <c r="H97" s="235"/>
      <c r="I97" s="235"/>
      <c r="J97" s="235"/>
      <c r="K97" s="235"/>
      <c r="L97" s="235"/>
      <c r="M97" s="235"/>
      <c r="N97" s="235"/>
    </row>
    <row r="98" spans="1:14" s="2" customFormat="1" ht="15.75">
      <c r="A98" s="233"/>
      <c r="B98" s="252"/>
      <c r="C98" s="234"/>
      <c r="D98" s="179"/>
      <c r="E98" s="235"/>
      <c r="F98" s="235"/>
      <c r="G98" s="235"/>
      <c r="H98" s="235"/>
      <c r="I98" s="235"/>
      <c r="J98" s="235"/>
      <c r="K98" s="235"/>
      <c r="L98" s="235"/>
      <c r="M98" s="235"/>
      <c r="N98" s="235"/>
    </row>
    <row r="99" spans="1:14" s="2" customFormat="1" ht="15.75">
      <c r="A99" s="233"/>
      <c r="B99" s="252"/>
      <c r="C99" s="234"/>
      <c r="D99" s="179"/>
      <c r="E99" s="235"/>
      <c r="F99" s="235"/>
      <c r="G99" s="235"/>
      <c r="H99" s="235"/>
      <c r="I99" s="235"/>
      <c r="J99" s="235"/>
      <c r="K99" s="235"/>
      <c r="L99" s="235"/>
      <c r="M99" s="235"/>
      <c r="N99" s="235"/>
    </row>
    <row r="100" spans="1:14" s="2" customFormat="1" ht="15.75">
      <c r="A100" s="233"/>
      <c r="B100" s="252"/>
      <c r="C100" s="234"/>
      <c r="D100" s="179"/>
      <c r="E100" s="235"/>
      <c r="F100" s="235"/>
      <c r="G100" s="235"/>
      <c r="H100" s="235"/>
      <c r="I100" s="235"/>
      <c r="J100" s="235"/>
      <c r="K100" s="235"/>
      <c r="L100" s="235"/>
      <c r="M100" s="235"/>
      <c r="N100" s="235"/>
    </row>
    <row r="101" spans="1:14" s="2" customFormat="1" ht="15.75">
      <c r="A101" s="233"/>
      <c r="B101" s="252"/>
      <c r="C101" s="234"/>
      <c r="D101" s="179"/>
      <c r="E101" s="235"/>
      <c r="F101" s="235"/>
      <c r="G101" s="235"/>
      <c r="H101" s="235"/>
      <c r="I101" s="235"/>
      <c r="J101" s="235"/>
      <c r="K101" s="235"/>
      <c r="L101" s="235"/>
      <c r="M101" s="235"/>
      <c r="N101" s="235"/>
    </row>
    <row r="102" spans="1:14" s="2" customFormat="1" ht="15.75">
      <c r="A102" s="233"/>
      <c r="B102" s="252"/>
      <c r="C102" s="234"/>
      <c r="D102" s="179"/>
      <c r="E102" s="235"/>
      <c r="F102" s="235"/>
      <c r="G102" s="235"/>
      <c r="H102" s="235"/>
      <c r="I102" s="235"/>
      <c r="J102" s="235"/>
      <c r="K102" s="235"/>
      <c r="L102" s="235"/>
      <c r="M102" s="235"/>
      <c r="N102" s="235"/>
    </row>
    <row r="103" spans="1:14" s="2" customFormat="1" ht="15.75">
      <c r="A103" s="233"/>
      <c r="B103" s="252"/>
      <c r="C103" s="234"/>
      <c r="D103" s="179"/>
      <c r="E103" s="235"/>
      <c r="F103" s="235"/>
      <c r="G103" s="235"/>
      <c r="H103" s="235"/>
      <c r="I103" s="235"/>
      <c r="J103" s="235"/>
      <c r="K103" s="235"/>
      <c r="L103" s="235"/>
      <c r="M103" s="235"/>
      <c r="N103" s="235"/>
    </row>
    <row r="104" spans="1:14" s="2" customFormat="1" ht="15.75">
      <c r="A104" s="233"/>
      <c r="B104" s="252"/>
      <c r="C104" s="234"/>
      <c r="D104" s="179"/>
      <c r="E104" s="235"/>
      <c r="F104" s="235"/>
      <c r="G104" s="235"/>
      <c r="H104" s="235"/>
      <c r="I104" s="235"/>
      <c r="J104" s="235"/>
      <c r="K104" s="235"/>
      <c r="L104" s="235"/>
      <c r="M104" s="235"/>
      <c r="N104" s="235"/>
    </row>
    <row r="105" spans="1:14" s="2" customFormat="1" ht="15.75">
      <c r="A105" s="233"/>
      <c r="B105" s="252"/>
      <c r="C105" s="234"/>
      <c r="D105" s="179"/>
      <c r="E105" s="235"/>
      <c r="F105" s="235"/>
      <c r="G105" s="235"/>
      <c r="H105" s="235"/>
      <c r="I105" s="235"/>
      <c r="J105" s="235"/>
      <c r="K105" s="235"/>
      <c r="L105" s="235"/>
      <c r="M105" s="235"/>
      <c r="N105" s="235"/>
    </row>
    <row r="106" spans="1:25" ht="15.75">
      <c r="A106" s="233"/>
      <c r="B106" s="234"/>
      <c r="C106" s="234"/>
      <c r="D106" s="179"/>
      <c r="E106" s="235"/>
      <c r="F106" s="235"/>
      <c r="G106" s="235"/>
      <c r="H106" s="235"/>
      <c r="I106" s="235"/>
      <c r="J106" s="235"/>
      <c r="K106" s="235"/>
      <c r="L106" s="235"/>
      <c r="M106" s="235"/>
      <c r="N106" s="235"/>
      <c r="O106" s="2"/>
      <c r="P106" s="2"/>
      <c r="Q106" s="2"/>
      <c r="R106" s="2"/>
      <c r="S106" s="2"/>
      <c r="T106" s="2"/>
      <c r="U106" s="2"/>
      <c r="V106" s="2"/>
      <c r="W106" s="2"/>
      <c r="X106" s="2"/>
      <c r="Y106" s="2"/>
    </row>
    <row r="107" spans="1:25" ht="15.75" customHeight="1">
      <c r="A107" s="233"/>
      <c r="B107" s="603" t="s">
        <v>595</v>
      </c>
      <c r="C107" s="603"/>
      <c r="D107" s="603"/>
      <c r="E107" s="603"/>
      <c r="F107" s="603"/>
      <c r="G107" s="603"/>
      <c r="H107" s="603"/>
      <c r="I107" s="603"/>
      <c r="J107" s="603"/>
      <c r="K107" s="603"/>
      <c r="L107" s="603"/>
      <c r="M107" s="603"/>
      <c r="N107" s="603"/>
      <c r="O107" s="603"/>
      <c r="P107" s="603"/>
      <c r="Q107" s="603"/>
      <c r="R107" s="603"/>
      <c r="S107" s="603"/>
      <c r="T107" s="603"/>
      <c r="U107" s="603"/>
      <c r="V107" s="603"/>
      <c r="W107" s="2"/>
      <c r="X107" s="2"/>
      <c r="Y107" s="2"/>
    </row>
  </sheetData>
  <sheetProtection/>
  <mergeCells count="15">
    <mergeCell ref="B107:V107"/>
    <mergeCell ref="J26:N26"/>
    <mergeCell ref="E25:I25"/>
    <mergeCell ref="D24:D27"/>
    <mergeCell ref="C24:C27"/>
    <mergeCell ref="A18:N18"/>
    <mergeCell ref="A24:A27"/>
    <mergeCell ref="A22:N22"/>
    <mergeCell ref="A19:N19"/>
    <mergeCell ref="A20:N20"/>
    <mergeCell ref="A23:I23"/>
    <mergeCell ref="E24:N24"/>
    <mergeCell ref="B24:B27"/>
    <mergeCell ref="J25:N25"/>
    <mergeCell ref="E26:I26"/>
  </mergeCells>
  <printOptions/>
  <pageMargins left="0.3937007874015748" right="0.1968503937007874" top="0.5905511811023623" bottom="0.5905511811023623" header="0.11811023622047245" footer="0.11811023622047245"/>
  <pageSetup fitToHeight="1" fitToWidth="1" horizontalDpi="600" verticalDpi="600" orientation="portrait" paperSize="8" scale="52"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R103"/>
  <sheetViews>
    <sheetView view="pageBreakPreview" zoomScale="70" zoomScaleSheetLayoutView="70" zoomScalePageLayoutView="0" workbookViewId="0" topLeftCell="A31">
      <selection activeCell="B98" sqref="B98"/>
    </sheetView>
  </sheetViews>
  <sheetFormatPr defaultColWidth="9.00390625" defaultRowHeight="15.75"/>
  <cols>
    <col min="1" max="1" width="7.50390625" style="1" customWidth="1"/>
    <col min="2" max="2" width="166.00390625" style="1" customWidth="1"/>
    <col min="3" max="3" width="14.625" style="1" customWidth="1"/>
    <col min="4" max="4" width="28.125" style="1" customWidth="1"/>
    <col min="5" max="5" width="29.625" style="1" customWidth="1"/>
    <col min="6" max="6" width="16.50390625" style="1" customWidth="1"/>
    <col min="7" max="7" width="4.625" style="1" customWidth="1"/>
    <col min="8" max="8" width="4.375" style="1" customWidth="1"/>
    <col min="9" max="10" width="3.375" style="1" customWidth="1"/>
    <col min="11" max="11" width="4.125" style="1" customWidth="1"/>
    <col min="12" max="14" width="5.75390625" style="1" customWidth="1"/>
    <col min="15" max="15" width="3.875" style="1" customWidth="1"/>
    <col min="16" max="16" width="4.50390625" style="1" customWidth="1"/>
    <col min="17" max="17" width="3.875" style="1" customWidth="1"/>
    <col min="18" max="18" width="4.375" style="1" customWidth="1"/>
    <col min="19" max="21" width="5.75390625" style="1" customWidth="1"/>
    <col min="22" max="22" width="6.125" style="1" customWidth="1"/>
    <col min="23" max="23" width="5.75390625" style="1" customWidth="1"/>
    <col min="24" max="24" width="6.50390625" style="1" customWidth="1"/>
    <col min="25" max="25" width="3.50390625" style="1" customWidth="1"/>
    <col min="26" max="26" width="5.75390625" style="1" customWidth="1"/>
    <col min="27" max="27" width="16.125" style="1" customWidth="1"/>
    <col min="28" max="28" width="21.25390625" style="1" customWidth="1"/>
    <col min="29" max="29" width="12.625" style="1" customWidth="1"/>
    <col min="30" max="30" width="22.375" style="1" customWidth="1"/>
    <col min="31" max="31" width="10.875" style="1" customWidth="1"/>
    <col min="32" max="32" width="17.375" style="1" customWidth="1"/>
    <col min="33" max="34" width="4.125" style="1" customWidth="1"/>
    <col min="35" max="35" width="3.75390625" style="1" customWidth="1"/>
    <col min="36" max="36" width="3.875" style="1" customWidth="1"/>
    <col min="37" max="37" width="4.50390625" style="1" customWidth="1"/>
    <col min="38" max="38" width="5.00390625" style="1" customWidth="1"/>
    <col min="39" max="39" width="5.50390625" style="1" customWidth="1"/>
    <col min="40" max="40" width="5.75390625" style="1" customWidth="1"/>
    <col min="41" max="41" width="5.50390625" style="1" customWidth="1"/>
    <col min="42" max="43" width="5.00390625" style="1" customWidth="1"/>
    <col min="44" max="44" width="12.875" style="1" customWidth="1"/>
    <col min="45" max="54" width="5.00390625" style="1" customWidth="1"/>
    <col min="55" max="16384" width="9.00390625" style="1" customWidth="1"/>
  </cols>
  <sheetData>
    <row r="1" spans="6:12" ht="15.75">
      <c r="F1" s="250" t="s">
        <v>145</v>
      </c>
      <c r="G1" s="2"/>
      <c r="H1" s="2"/>
      <c r="I1" s="2"/>
      <c r="J1" s="2"/>
      <c r="K1" s="2"/>
      <c r="L1" s="2"/>
    </row>
    <row r="2" spans="6:12" ht="15.75">
      <c r="F2" s="251" t="s">
        <v>423</v>
      </c>
      <c r="G2" s="2"/>
      <c r="H2" s="2"/>
      <c r="I2" s="2"/>
      <c r="J2" s="2"/>
      <c r="K2" s="2"/>
      <c r="L2" s="2"/>
    </row>
    <row r="3" spans="6:12" ht="15.75">
      <c r="F3" s="251" t="s">
        <v>589</v>
      </c>
      <c r="G3" s="2"/>
      <c r="H3" s="2"/>
      <c r="I3" s="2"/>
      <c r="J3" s="2"/>
      <c r="K3" s="2"/>
      <c r="L3" s="2"/>
    </row>
    <row r="4" spans="6:12" ht="15.75">
      <c r="F4" s="251"/>
      <c r="G4" s="2"/>
      <c r="H4" s="2"/>
      <c r="I4" s="2"/>
      <c r="J4" s="2"/>
      <c r="K4" s="2"/>
      <c r="L4" s="2"/>
    </row>
    <row r="5" spans="6:12" ht="15.75">
      <c r="F5" s="251"/>
      <c r="G5" s="2"/>
      <c r="H5" s="2"/>
      <c r="I5" s="2"/>
      <c r="J5" s="2"/>
      <c r="K5" s="2"/>
      <c r="L5" s="2"/>
    </row>
    <row r="6" spans="6:12" ht="18.75">
      <c r="F6" s="16"/>
      <c r="G6" s="2"/>
      <c r="H6" s="2"/>
      <c r="I6" s="2"/>
      <c r="J6" s="2"/>
      <c r="K6" s="2"/>
      <c r="L6" s="2"/>
    </row>
    <row r="7" spans="6:12" ht="15.75">
      <c r="F7" s="251" t="s">
        <v>591</v>
      </c>
      <c r="G7" s="2"/>
      <c r="H7" s="2"/>
      <c r="I7" s="2"/>
      <c r="J7" s="2"/>
      <c r="K7" s="2"/>
      <c r="L7" s="2"/>
    </row>
    <row r="8" spans="6:12" ht="15.75">
      <c r="F8" s="251" t="s">
        <v>592</v>
      </c>
      <c r="G8" s="2"/>
      <c r="H8" s="2"/>
      <c r="I8" s="2"/>
      <c r="J8" s="2"/>
      <c r="K8" s="2"/>
      <c r="L8" s="2"/>
    </row>
    <row r="9" spans="6:12" ht="18.75">
      <c r="F9" s="16"/>
      <c r="G9" s="2"/>
      <c r="H9" s="2"/>
      <c r="I9" s="2"/>
      <c r="J9" s="2"/>
      <c r="K9" s="2"/>
      <c r="L9" s="2"/>
    </row>
    <row r="10" spans="6:12" ht="15.75">
      <c r="F10" s="251" t="s">
        <v>597</v>
      </c>
      <c r="G10" s="2"/>
      <c r="H10" s="2"/>
      <c r="I10" s="2"/>
      <c r="J10" s="2"/>
      <c r="K10" s="2"/>
      <c r="L10" s="2"/>
    </row>
    <row r="11" spans="5:12" ht="15.75">
      <c r="E11" s="511" t="s">
        <v>767</v>
      </c>
      <c r="F11" s="251"/>
      <c r="G11" s="2"/>
      <c r="H11" s="2"/>
      <c r="I11" s="2"/>
      <c r="J11" s="2"/>
      <c r="K11" s="2"/>
      <c r="L11" s="2"/>
    </row>
    <row r="12" spans="6:12" ht="15.75">
      <c r="F12" s="251" t="s">
        <v>766</v>
      </c>
      <c r="G12" s="2"/>
      <c r="H12" s="2"/>
      <c r="I12" s="2"/>
      <c r="J12" s="2"/>
      <c r="K12" s="2"/>
      <c r="L12" s="2"/>
    </row>
    <row r="13" spans="6:12" ht="15.75">
      <c r="F13" s="251"/>
      <c r="G13" s="2"/>
      <c r="H13" s="2"/>
      <c r="I13" s="2"/>
      <c r="J13" s="2"/>
      <c r="K13" s="2"/>
      <c r="L13" s="2"/>
    </row>
    <row r="14" spans="6:12" ht="15.75">
      <c r="F14" s="251"/>
      <c r="G14" s="2"/>
      <c r="H14" s="2"/>
      <c r="I14" s="2"/>
      <c r="J14" s="2"/>
      <c r="K14" s="2"/>
      <c r="L14" s="2"/>
    </row>
    <row r="15" spans="6:12" ht="15.75">
      <c r="F15" s="251"/>
      <c r="G15" s="2"/>
      <c r="H15" s="2"/>
      <c r="I15" s="2"/>
      <c r="J15" s="2"/>
      <c r="K15" s="2"/>
      <c r="L15" s="2"/>
    </row>
    <row r="16" spans="6:12" ht="15.75">
      <c r="F16" s="251"/>
      <c r="G16" s="2"/>
      <c r="H16" s="2"/>
      <c r="I16" s="2"/>
      <c r="J16" s="2"/>
      <c r="K16" s="2"/>
      <c r="L16" s="2"/>
    </row>
    <row r="17" spans="1:12" ht="15.75">
      <c r="A17" s="662" t="s">
        <v>200</v>
      </c>
      <c r="B17" s="662"/>
      <c r="C17" s="662"/>
      <c r="D17" s="662"/>
      <c r="E17" s="662"/>
      <c r="F17" s="662"/>
      <c r="G17" s="2"/>
      <c r="H17" s="2"/>
      <c r="I17" s="2"/>
      <c r="J17" s="2"/>
      <c r="K17" s="2"/>
      <c r="L17" s="2"/>
    </row>
    <row r="18" spans="1:44" ht="16.5">
      <c r="A18" s="657" t="str">
        <f>1!A14:U14</f>
        <v>Инвестиционная программа Филиала "Железноводские электрические сети" ООО "КЭУК".</v>
      </c>
      <c r="B18" s="657"/>
      <c r="C18" s="657"/>
      <c r="D18" s="657"/>
      <c r="E18" s="657"/>
      <c r="F18" s="657"/>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row>
    <row r="19" spans="1:44" ht="15.75">
      <c r="A19" s="663" t="s">
        <v>109</v>
      </c>
      <c r="B19" s="663"/>
      <c r="C19" s="663"/>
      <c r="D19" s="663"/>
      <c r="E19" s="663"/>
      <c r="F19" s="663"/>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row>
    <row r="20" spans="1:44" ht="15.75">
      <c r="A20" s="47"/>
      <c r="B20" s="47"/>
      <c r="C20" s="47"/>
      <c r="D20" s="47"/>
      <c r="E20" s="47"/>
      <c r="F20" s="47"/>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row>
    <row r="21" spans="1:12" ht="15.75">
      <c r="A21" s="664" t="str">
        <f>1!A17:U17</f>
        <v>Год раскрытия информации: 2018 год</v>
      </c>
      <c r="B21" s="664"/>
      <c r="C21" s="664"/>
      <c r="D21" s="664"/>
      <c r="E21" s="664"/>
      <c r="F21" s="664"/>
      <c r="G21" s="2"/>
      <c r="H21" s="2"/>
      <c r="I21" s="2"/>
      <c r="J21" s="2"/>
      <c r="K21" s="2"/>
      <c r="L21" s="2"/>
    </row>
    <row r="22" spans="1:36" ht="16.5" thickBot="1">
      <c r="A22" s="604"/>
      <c r="B22" s="604"/>
      <c r="C22" s="604"/>
      <c r="D22" s="604"/>
      <c r="E22" s="604"/>
      <c r="F22" s="14"/>
      <c r="G22" s="14"/>
      <c r="H22" s="14"/>
      <c r="I22" s="14"/>
      <c r="J22" s="14"/>
      <c r="K22" s="14"/>
      <c r="L22" s="14"/>
      <c r="M22" s="14"/>
      <c r="N22" s="14"/>
      <c r="O22" s="2"/>
      <c r="P22" s="2"/>
      <c r="Q22" s="2"/>
      <c r="R22" s="2"/>
      <c r="S22" s="2"/>
      <c r="T22" s="2"/>
      <c r="U22" s="2"/>
      <c r="V22" s="2"/>
      <c r="W22" s="2"/>
      <c r="X22" s="2"/>
      <c r="Y22" s="2"/>
      <c r="Z22" s="2"/>
      <c r="AA22" s="2"/>
      <c r="AB22" s="2"/>
      <c r="AC22" s="2"/>
      <c r="AD22" s="2"/>
      <c r="AE22" s="2"/>
      <c r="AF22" s="2"/>
      <c r="AG22" s="2"/>
      <c r="AH22" s="2"/>
      <c r="AI22" s="2"/>
      <c r="AJ22" s="2"/>
    </row>
    <row r="23" spans="1:36" ht="53.25" customHeight="1">
      <c r="A23" s="605" t="s">
        <v>604</v>
      </c>
      <c r="B23" s="622" t="s">
        <v>452</v>
      </c>
      <c r="C23" s="622" t="s">
        <v>113</v>
      </c>
      <c r="D23" s="638" t="s">
        <v>7</v>
      </c>
      <c r="E23" s="639"/>
      <c r="F23" s="665" t="s">
        <v>444</v>
      </c>
      <c r="G23" s="3"/>
      <c r="H23" s="3"/>
      <c r="I23" s="3"/>
      <c r="J23" s="3"/>
      <c r="K23" s="3"/>
      <c r="L23" s="3"/>
      <c r="M23" s="3"/>
      <c r="N23" s="3"/>
      <c r="O23" s="2"/>
      <c r="P23" s="2"/>
      <c r="Q23" s="2"/>
      <c r="R23" s="2"/>
      <c r="S23" s="2"/>
      <c r="T23" s="2"/>
      <c r="U23" s="2"/>
      <c r="V23" s="2"/>
      <c r="W23" s="2"/>
      <c r="X23" s="2"/>
      <c r="Y23" s="2"/>
      <c r="Z23" s="2"/>
      <c r="AA23" s="2"/>
      <c r="AB23" s="2"/>
      <c r="AC23" s="2"/>
      <c r="AD23" s="2"/>
      <c r="AE23" s="2"/>
      <c r="AF23" s="2"/>
      <c r="AG23" s="2"/>
      <c r="AH23" s="2"/>
      <c r="AI23" s="2"/>
      <c r="AJ23" s="2"/>
    </row>
    <row r="24" spans="1:36" ht="65.25" customHeight="1">
      <c r="A24" s="606"/>
      <c r="B24" s="613"/>
      <c r="C24" s="613"/>
      <c r="D24" s="644"/>
      <c r="E24" s="645"/>
      <c r="F24" s="666"/>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6" ht="36" customHeight="1">
      <c r="A25" s="606"/>
      <c r="B25" s="613"/>
      <c r="C25" s="613"/>
      <c r="D25" s="613" t="s">
        <v>112</v>
      </c>
      <c r="E25" s="613"/>
      <c r="F25" s="666"/>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ht="45.75" customHeight="1" thickBot="1">
      <c r="A26" s="607"/>
      <c r="B26" s="614"/>
      <c r="C26" s="614"/>
      <c r="D26" s="178"/>
      <c r="E26" s="178"/>
      <c r="F26" s="667"/>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36" ht="16.5" thickBot="1">
      <c r="A27" s="246">
        <v>1</v>
      </c>
      <c r="B27" s="247">
        <v>2</v>
      </c>
      <c r="C27" s="247">
        <v>3</v>
      </c>
      <c r="D27" s="248" t="s">
        <v>540</v>
      </c>
      <c r="E27" s="248" t="s">
        <v>541</v>
      </c>
      <c r="F27" s="249" t="s">
        <v>533</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6" s="2" customFormat="1" ht="15.75">
      <c r="A28" s="323"/>
      <c r="B28" s="194" t="s">
        <v>475</v>
      </c>
      <c r="C28" s="324" t="s">
        <v>261</v>
      </c>
      <c r="D28" s="272" t="s">
        <v>368</v>
      </c>
      <c r="E28" s="272" t="s">
        <v>368</v>
      </c>
      <c r="F28" s="262"/>
    </row>
    <row r="29" spans="1:6" s="2" customFormat="1" ht="15.75">
      <c r="A29" s="207" t="s">
        <v>476</v>
      </c>
      <c r="B29" s="159" t="s">
        <v>477</v>
      </c>
      <c r="C29" s="173" t="s">
        <v>261</v>
      </c>
      <c r="D29" s="145" t="s">
        <v>368</v>
      </c>
      <c r="E29" s="145" t="s">
        <v>368</v>
      </c>
      <c r="F29" s="236"/>
    </row>
    <row r="30" spans="1:6" s="2" customFormat="1" ht="15.75">
      <c r="A30" s="207" t="s">
        <v>478</v>
      </c>
      <c r="B30" s="159" t="s">
        <v>479</v>
      </c>
      <c r="C30" s="173" t="s">
        <v>261</v>
      </c>
      <c r="D30" s="145" t="s">
        <v>368</v>
      </c>
      <c r="E30" s="145" t="s">
        <v>368</v>
      </c>
      <c r="F30" s="236"/>
    </row>
    <row r="31" spans="1:6" s="2" customFormat="1" ht="15.75">
      <c r="A31" s="207" t="s">
        <v>480</v>
      </c>
      <c r="B31" s="159" t="s">
        <v>481</v>
      </c>
      <c r="C31" s="173" t="s">
        <v>261</v>
      </c>
      <c r="D31" s="145" t="s">
        <v>368</v>
      </c>
      <c r="E31" s="145" t="s">
        <v>368</v>
      </c>
      <c r="F31" s="236"/>
    </row>
    <row r="32" spans="1:6" s="2" customFormat="1" ht="15.75">
      <c r="A32" s="207" t="s">
        <v>482</v>
      </c>
      <c r="B32" s="159" t="s">
        <v>483</v>
      </c>
      <c r="C32" s="173" t="s">
        <v>261</v>
      </c>
      <c r="D32" s="145" t="s">
        <v>368</v>
      </c>
      <c r="E32" s="145" t="s">
        <v>368</v>
      </c>
      <c r="F32" s="236"/>
    </row>
    <row r="33" spans="1:6" s="2" customFormat="1" ht="15.75">
      <c r="A33" s="207" t="s">
        <v>484</v>
      </c>
      <c r="B33" s="160" t="s">
        <v>485</v>
      </c>
      <c r="C33" s="173" t="s">
        <v>261</v>
      </c>
      <c r="D33" s="145" t="s">
        <v>368</v>
      </c>
      <c r="E33" s="145" t="s">
        <v>368</v>
      </c>
      <c r="F33" s="236"/>
    </row>
    <row r="34" spans="1:6" s="2" customFormat="1" ht="15.75">
      <c r="A34" s="207" t="s">
        <v>486</v>
      </c>
      <c r="B34" s="160" t="s">
        <v>487</v>
      </c>
      <c r="C34" s="173" t="s">
        <v>261</v>
      </c>
      <c r="D34" s="145" t="s">
        <v>368</v>
      </c>
      <c r="E34" s="145" t="s">
        <v>368</v>
      </c>
      <c r="F34" s="236"/>
    </row>
    <row r="35" spans="1:6" s="2" customFormat="1" ht="15.75">
      <c r="A35" s="325">
        <v>1</v>
      </c>
      <c r="B35" s="161" t="s">
        <v>260</v>
      </c>
      <c r="C35" s="173" t="s">
        <v>261</v>
      </c>
      <c r="D35" s="145" t="s">
        <v>368</v>
      </c>
      <c r="E35" s="145" t="s">
        <v>368</v>
      </c>
      <c r="F35" s="236"/>
    </row>
    <row r="36" spans="1:6" s="2" customFormat="1" ht="15.75">
      <c r="A36" s="207" t="s">
        <v>285</v>
      </c>
      <c r="B36" s="161" t="s">
        <v>263</v>
      </c>
      <c r="C36" s="173" t="s">
        <v>261</v>
      </c>
      <c r="D36" s="145" t="s">
        <v>368</v>
      </c>
      <c r="E36" s="145" t="s">
        <v>368</v>
      </c>
      <c r="F36" s="236"/>
    </row>
    <row r="37" spans="1:6" s="2" customFormat="1" ht="15.75">
      <c r="A37" s="238" t="str">
        <f>1!A33</f>
        <v>1.1</v>
      </c>
      <c r="B37" s="170" t="str">
        <f>1!B33</f>
        <v>Реконструкция ВЛ-0,4 кВ ул.Шоссейная, п.Иноземцево, (и/н 0000467), СИП-2 3х50+1х54,6 - 0,418 км, СИП-2 3х35+1х54,6 - 0,366 км и СИП-4 2х16 - 0,575 км</v>
      </c>
      <c r="C37" s="125" t="str">
        <f>1!C33</f>
        <v>G_Gelezno_001</v>
      </c>
      <c r="D37" s="104" t="s">
        <v>368</v>
      </c>
      <c r="E37" s="104" t="s">
        <v>368</v>
      </c>
      <c r="F37" s="236"/>
    </row>
    <row r="38" spans="1:6" s="2" customFormat="1" ht="15.75">
      <c r="A38" s="238" t="str">
        <f>1!A34</f>
        <v>1.1</v>
      </c>
      <c r="B38" s="170" t="str">
        <f>1!B34</f>
        <v>Реконструкция ВЛ-0,4 кВ ул.Р.Люксембург, г.Железноводск, (и/н 0000305), СИП-2 3х35+1х54,6 - 0,367 км и СИП-4 2х16 - 0,45 км</v>
      </c>
      <c r="C38" s="125" t="str">
        <f>1!C34</f>
        <v>G_Gelezno_002</v>
      </c>
      <c r="D38" s="104" t="s">
        <v>368</v>
      </c>
      <c r="E38" s="104" t="s">
        <v>368</v>
      </c>
      <c r="F38" s="236"/>
    </row>
    <row r="39" spans="1:6" s="2" customFormat="1" ht="15.75">
      <c r="A39" s="238" t="str">
        <f>1!A35</f>
        <v>1.1</v>
      </c>
      <c r="B39" s="170" t="str">
        <f>1!B35</f>
        <v>Реконструкция ВЛ-0,4 кВ ул.Свободы, п.Иноземцево, (и/н 0000450 и 0000451), СИП-2 3х35+1х54,6 - 2,35 км и СИП-4 2х16 - 2,97 км</v>
      </c>
      <c r="C39" s="125" t="str">
        <f>1!C35</f>
        <v>G_Gelezno_003</v>
      </c>
      <c r="D39" s="104" t="s">
        <v>368</v>
      </c>
      <c r="E39" s="104" t="s">
        <v>368</v>
      </c>
      <c r="F39" s="236"/>
    </row>
    <row r="40" spans="1:6" s="2" customFormat="1" ht="15.75">
      <c r="A40" s="238" t="str">
        <f>1!A36</f>
        <v>1.1</v>
      </c>
      <c r="B40" s="170" t="str">
        <f>1!B36</f>
        <v>Реконструкция ВЛ-0,4 кВ ул.Свободы до озера (от ул.Шоссей-ной), п.Иноземцево, (и/н 0000453), СИП-2 3х35+1х54,6 - 2,26 км и СИП-4 2х16 - 2,17 км</v>
      </c>
      <c r="C40" s="125" t="str">
        <f>1!C36</f>
        <v>G_Gelezno_004</v>
      </c>
      <c r="D40" s="104" t="s">
        <v>368</v>
      </c>
      <c r="E40" s="104" t="s">
        <v>368</v>
      </c>
      <c r="F40" s="236"/>
    </row>
    <row r="41" spans="1:6" s="2" customFormat="1" ht="15.75">
      <c r="A41" s="238" t="str">
        <f>1!A37</f>
        <v>1.1</v>
      </c>
      <c r="B41" s="170" t="str">
        <f>1!B37</f>
        <v>Реконструкция ВЛ-0,4 кВ ул.60 лет Октября, п.Иноземцево, (и/н 0000329 и 0000330), СИП-2 3х35+1х54,6 - 0,836 км и СИП-4 2х16 - 2,2 км</v>
      </c>
      <c r="C41" s="125" t="str">
        <f>1!C37</f>
        <v>G_Gelezno_005</v>
      </c>
      <c r="D41" s="104" t="s">
        <v>368</v>
      </c>
      <c r="E41" s="104" t="s">
        <v>368</v>
      </c>
      <c r="F41" s="236"/>
    </row>
    <row r="42" spans="1:6" s="2" customFormat="1" ht="15.75">
      <c r="A42" s="238" t="str">
        <f>1!A38</f>
        <v>1.1</v>
      </c>
      <c r="B42" s="170" t="str">
        <f>1!B38</f>
        <v>Реконструкция ВЛ-0,4 кВ ул.К.Цеткин и/н 0000376  и  ул.Пушкина и/н 0000440 п.Иноземцево, СИП-2 3х35+1х54,6 - 2,02 км и СИП-4 2х16 - 1,42 км</v>
      </c>
      <c r="C42" s="125" t="str">
        <f>1!C38</f>
        <v>G_Gelezno_006</v>
      </c>
      <c r="D42" s="104" t="s">
        <v>368</v>
      </c>
      <c r="E42" s="104" t="s">
        <v>368</v>
      </c>
      <c r="F42" s="236"/>
    </row>
    <row r="43" spans="1:6" s="2" customFormat="1" ht="15.75">
      <c r="A43" s="238" t="str">
        <f>1!A39</f>
        <v>1.1</v>
      </c>
      <c r="B43" s="170" t="str">
        <f>1!B39</f>
        <v>Реконструкция ВЛ-0,4 кВ ул.Бахановича, г.Железноводск, (и/н 0000285), СИП-2 3х35+1х54,6 - 0,502км и СИП-4 2х16 - 0,784 км</v>
      </c>
      <c r="C43" s="125" t="str">
        <f>1!C39</f>
        <v>G_Gelezno_007</v>
      </c>
      <c r="D43" s="104" t="s">
        <v>368</v>
      </c>
      <c r="E43" s="104" t="s">
        <v>368</v>
      </c>
      <c r="F43" s="236"/>
    </row>
    <row r="44" spans="1:6" s="2" customFormat="1" ht="15.75">
      <c r="A44" s="238" t="str">
        <f>1!A40</f>
        <v>1.1</v>
      </c>
      <c r="B44" s="170" t="str">
        <f>1!B40</f>
        <v>Реконструкция ВЛ-0,4 кВ ул.Ивановская, г. Железноводск, (и/н 0000370 и 0000371 ), СИП-2 3х35+1х54,6 - 1,12 км и СИП-4 2х16 - 0,4 км</v>
      </c>
      <c r="C44" s="125" t="str">
        <f>1!C40</f>
        <v>G_Gelezno_008</v>
      </c>
      <c r="D44" s="104" t="s">
        <v>368</v>
      </c>
      <c r="E44" s="104" t="s">
        <v>368</v>
      </c>
      <c r="F44" s="236"/>
    </row>
    <row r="45" spans="1:6" s="2" customFormat="1" ht="15.75">
      <c r="A45" s="238" t="str">
        <f>1!A41</f>
        <v>1.1</v>
      </c>
      <c r="B45" s="170" t="str">
        <f>1!B41</f>
        <v>Реконструкция ВЛ-0,4 кВ ул.Бахановича от ул.Чапаева, г.Желез-новодск, (и/н 0000283), СИП-2 3х35+1х54,6 - 0,836 км и СИП-4 2х16 - 1,306 км</v>
      </c>
      <c r="C45" s="125" t="str">
        <f>1!C41</f>
        <v>G_Gelezno_009</v>
      </c>
      <c r="D45" s="104" t="s">
        <v>368</v>
      </c>
      <c r="E45" s="104" t="s">
        <v>368</v>
      </c>
      <c r="F45" s="236"/>
    </row>
    <row r="46" spans="1:6" s="2" customFormat="1" ht="9" customHeight="1">
      <c r="A46" s="238"/>
      <c r="B46" s="125"/>
      <c r="C46" s="125"/>
      <c r="D46" s="104"/>
      <c r="E46" s="104"/>
      <c r="F46" s="236"/>
    </row>
    <row r="47" spans="1:6" s="5" customFormat="1" ht="15.75">
      <c r="A47" s="239" t="str">
        <f>1!A43</f>
        <v>1.2</v>
      </c>
      <c r="B47" s="351" t="str">
        <f>1!B43</f>
        <v>Реконструкция трансформаторных и иных подстанций, всего, в том числе:</v>
      </c>
      <c r="C47" s="142" t="str">
        <f>1!C43</f>
        <v>Г</v>
      </c>
      <c r="D47" s="145"/>
      <c r="E47" s="145"/>
      <c r="F47" s="240"/>
    </row>
    <row r="48" spans="1:6" s="2" customFormat="1" ht="15.75">
      <c r="A48" s="238" t="str">
        <f>1!A44</f>
        <v>1.2</v>
      </c>
      <c r="B48" s="125" t="str">
        <f>1!B44</f>
        <v>Реконструкция в ТП-187  (и/н 0001379) (камера сборная серии КСО-393-13-400 - 1 шт. и камера сборная серии КСО-393-01 - 1шт.)</v>
      </c>
      <c r="C48" s="125" t="str">
        <f>1!C44</f>
        <v>G_Gelezno_010</v>
      </c>
      <c r="D48" s="104" t="s">
        <v>368</v>
      </c>
      <c r="E48" s="104" t="s">
        <v>368</v>
      </c>
      <c r="F48" s="236"/>
    </row>
    <row r="49" spans="1:6" s="2" customFormat="1" ht="7.5" customHeight="1">
      <c r="A49" s="238"/>
      <c r="B49" s="125"/>
      <c r="C49" s="125"/>
      <c r="D49" s="104"/>
      <c r="E49" s="104"/>
      <c r="F49" s="236"/>
    </row>
    <row r="50" spans="1:6" s="5" customFormat="1" ht="15.75">
      <c r="A50" s="239" t="str">
        <f>1!A46</f>
        <v>1.3</v>
      </c>
      <c r="B50" s="143" t="str">
        <f>1!B46</f>
        <v>Прочие инвестиционные проекты, всего, в том числе:</v>
      </c>
      <c r="C50" s="142" t="str">
        <f>1!C46</f>
        <v>Г</v>
      </c>
      <c r="D50" s="145"/>
      <c r="E50" s="145"/>
      <c r="F50" s="240"/>
    </row>
    <row r="51" spans="1:6" s="2" customFormat="1" ht="15.75">
      <c r="A51" s="238" t="str">
        <f>1!A47</f>
        <v>1.3</v>
      </c>
      <c r="B51" s="125" t="str">
        <f>1!B47</f>
        <v>Внутренний контур системы коммерческого учёта АСКУЭ   в   ТП-40; 15; 185; 28; 9  и  РП-3; 4; 5; 6.</v>
      </c>
      <c r="C51" s="125" t="str">
        <f>1!C47</f>
        <v>G_Gelezno_011</v>
      </c>
      <c r="D51" s="104" t="s">
        <v>368</v>
      </c>
      <c r="E51" s="104" t="s">
        <v>368</v>
      </c>
      <c r="F51" s="236"/>
    </row>
    <row r="52" spans="1:6" s="2" customFormat="1" ht="15.75">
      <c r="A52" s="238" t="str">
        <f>1!A48</f>
        <v>1.3</v>
      </c>
      <c r="B52" s="125" t="str">
        <f>1!B48</f>
        <v>Оборудование, не требующее монтажа</v>
      </c>
      <c r="C52" s="125" t="str">
        <f>1!C48</f>
        <v>G_Gelezno_012</v>
      </c>
      <c r="D52" s="104" t="s">
        <v>368</v>
      </c>
      <c r="E52" s="104" t="s">
        <v>368</v>
      </c>
      <c r="F52" s="236"/>
    </row>
    <row r="53" spans="1:6" s="2" customFormat="1" ht="10.5" customHeight="1">
      <c r="A53" s="238"/>
      <c r="B53" s="125"/>
      <c r="C53" s="125"/>
      <c r="D53" s="104"/>
      <c r="E53" s="104"/>
      <c r="F53" s="236"/>
    </row>
    <row r="54" spans="1:6" s="5" customFormat="1" ht="15.75">
      <c r="A54" s="239" t="str">
        <f>1!A50</f>
        <v>1.4</v>
      </c>
      <c r="B54" s="351" t="str">
        <f>1!B50</f>
        <v>Новое строительство, всего, в том числе:</v>
      </c>
      <c r="C54" s="142" t="str">
        <f>1!C50</f>
        <v>Г</v>
      </c>
      <c r="D54" s="145"/>
      <c r="E54" s="145"/>
      <c r="F54" s="240"/>
    </row>
    <row r="55" spans="1:6" s="5" customFormat="1" ht="15.75">
      <c r="A55" s="239" t="str">
        <f>1!A51</f>
        <v>1.4.1</v>
      </c>
      <c r="B55" s="351" t="str">
        <f>1!B51</f>
        <v>Прочее новое строительство объектов электросетевого хозяйства</v>
      </c>
      <c r="C55" s="125"/>
      <c r="D55" s="104" t="s">
        <v>368</v>
      </c>
      <c r="E55" s="104" t="s">
        <v>368</v>
      </c>
      <c r="F55" s="236"/>
    </row>
    <row r="56" spans="1:6" s="5" customFormat="1" ht="15.75">
      <c r="A56" s="238" t="str">
        <f>1!A52</f>
        <v>1.4.1.1</v>
      </c>
      <c r="B56" s="170" t="str">
        <f>1!B52</f>
        <v>Строительство КЛ-10 кВ, Ф-187(С-2) от ПС"Машук" до ТП-187, п.Иноземцево , L=2,244 км (ААБлУ 3х240)</v>
      </c>
      <c r="C56" s="125" t="str">
        <f>1!C52</f>
        <v>G_Gelezno_013</v>
      </c>
      <c r="D56" s="104"/>
      <c r="E56" s="104"/>
      <c r="F56" s="236"/>
    </row>
    <row r="57" spans="1:6" s="5" customFormat="1" ht="15.75">
      <c r="A57" s="239" t="str">
        <f>1!A53</f>
        <v>1.4.2</v>
      </c>
      <c r="B57" s="351" t="str">
        <f>1!B53</f>
        <v>Прочее новое строительство, в счёт тех.присоединений</v>
      </c>
      <c r="C57" s="125"/>
      <c r="D57" s="104"/>
      <c r="E57" s="104"/>
      <c r="F57" s="236"/>
    </row>
    <row r="58" spans="1:6" s="5" customFormat="1" ht="15.75">
      <c r="A58" s="509" t="str">
        <f>1!A54</f>
        <v>1.4.2.1</v>
      </c>
      <c r="B58" s="170" t="str">
        <f>1!B54</f>
        <v>Строительство ВЛ-0,4 кВ от РУ-0,4 кВ ТП-185 до ВРУ офисного здания ул.Пушкина,2А, п.Иноземцево, L=0,235 км (СИП-2 3х50+1х54)</v>
      </c>
      <c r="C58" s="506" t="str">
        <f>1!C54</f>
        <v>G_Gelezno_ТР1</v>
      </c>
      <c r="D58" s="104" t="s">
        <v>368</v>
      </c>
      <c r="E58" s="104" t="s">
        <v>368</v>
      </c>
      <c r="F58" s="236"/>
    </row>
    <row r="59" spans="1:6" s="5" customFormat="1" ht="15.75">
      <c r="A59" s="509" t="str">
        <f>1!A55</f>
        <v>1.4.2.2</v>
      </c>
      <c r="B59" s="170" t="str">
        <f>1!B55</f>
        <v>Строительство КЛ-0,4 кВ от РУ-0,4 кВ ТП-18 (С1) до ВРУ МКЖД ул.Косякина (район дома № 49), г.Железноводск, (Линия 1), L=0,143 км (ААБл 4х120)</v>
      </c>
      <c r="C59" s="506" t="str">
        <f>1!C55</f>
        <v>G_Gelezno_ТР2</v>
      </c>
      <c r="D59" s="104" t="s">
        <v>368</v>
      </c>
      <c r="E59" s="104" t="s">
        <v>368</v>
      </c>
      <c r="F59" s="236"/>
    </row>
    <row r="60" spans="1:6" s="5" customFormat="1" ht="15.75">
      <c r="A60" s="509" t="str">
        <f>1!A56</f>
        <v>1.4.2.3</v>
      </c>
      <c r="B60" s="170" t="str">
        <f>1!B56</f>
        <v>Строительство КЛ-0,4 кВ от РУ-0,4 кВ ТП-18 (С2) до ВРУ МКЖД ул.Косякина (район дома № 49), г.Железноводск, (Линия 2), L=0,143 км (ААБл 4х120)</v>
      </c>
      <c r="C60" s="506" t="str">
        <f>1!C56</f>
        <v>G_Gelezno_ТР3</v>
      </c>
      <c r="D60" s="104" t="s">
        <v>368</v>
      </c>
      <c r="E60" s="104" t="s">
        <v>368</v>
      </c>
      <c r="F60" s="236"/>
    </row>
    <row r="61" spans="1:6" s="5" customFormat="1" ht="15.75">
      <c r="A61" s="509" t="str">
        <f>1!A57</f>
        <v>1.4.2.4</v>
      </c>
      <c r="B61" s="170" t="str">
        <f>1!B57</f>
        <v>Строительство КТП-247 в районе озера "Карас", п.Иноземцево (250 кВА)</v>
      </c>
      <c r="C61" s="506" t="str">
        <f>1!C57</f>
        <v>G_Gelezno_ТР4</v>
      </c>
      <c r="D61" s="104" t="s">
        <v>368</v>
      </c>
      <c r="E61" s="104" t="s">
        <v>368</v>
      </c>
      <c r="F61" s="236"/>
    </row>
    <row r="62" spans="1:6" s="5" customFormat="1" ht="15.75">
      <c r="A62" s="509" t="str">
        <f>1!A58</f>
        <v>1.4.2.5</v>
      </c>
      <c r="B62" s="170" t="str">
        <f>1!B58</f>
        <v>Строительство ВЛ-0,4 кВ от РУ-0,4 кВ ТП-15 до ВРУ Железно-водского НКЦ  для лиц страдающих сахарным диабетом ул. Ленина,67, г.Железноводск, L=0,11 км (СИП-2 3х50+1х54,6)</v>
      </c>
      <c r="C62" s="506" t="str">
        <f>1!C58</f>
        <v>G_Gelezno_ТР5</v>
      </c>
      <c r="D62" s="104" t="s">
        <v>368</v>
      </c>
      <c r="E62" s="104" t="s">
        <v>368</v>
      </c>
      <c r="F62" s="236"/>
    </row>
    <row r="63" spans="1:6" s="5" customFormat="1" ht="15.75">
      <c r="A63" s="509" t="str">
        <f>1!A59</f>
        <v>1.4.2.6</v>
      </c>
      <c r="B63" s="170" t="str">
        <f>1!B59</f>
        <v>Строительство КЛ-10 кВ от РУ-10 кВ КТП-224 до КТП-247, п.Иноземцево, L=0,918 км (АСБ 3х120)</v>
      </c>
      <c r="C63" s="506" t="str">
        <f>1!C59</f>
        <v>G_Gelezno_ТР6</v>
      </c>
      <c r="D63" s="104" t="s">
        <v>368</v>
      </c>
      <c r="E63" s="104" t="s">
        <v>368</v>
      </c>
      <c r="F63" s="236"/>
    </row>
    <row r="64" spans="1:6" s="5" customFormat="1" ht="15.75">
      <c r="A64" s="509" t="str">
        <f>1!A60</f>
        <v>1.4.2.7</v>
      </c>
      <c r="B64" s="170" t="str">
        <f>1!B60</f>
        <v>Строительство КЛ-0,4 кВ от РУ-0,4 кВ ТП-50 (С-1) до ВРУ МКЖД по ул.Ленина,49(линия 1), г.Железноводск, L=0,061 км (АВБбШв 4х240)</v>
      </c>
      <c r="C64" s="506" t="str">
        <f>1!C60</f>
        <v>G_Gelezno_ТР7</v>
      </c>
      <c r="D64" s="104" t="s">
        <v>368</v>
      </c>
      <c r="E64" s="104" t="s">
        <v>368</v>
      </c>
      <c r="F64" s="236"/>
    </row>
    <row r="65" spans="1:6" s="5" customFormat="1" ht="15.75">
      <c r="A65" s="509" t="str">
        <f>1!A61</f>
        <v>1.4.2.8</v>
      </c>
      <c r="B65" s="170" t="str">
        <f>1!B61</f>
        <v>Строительство КЛ-0,4 кВ от РУ-0,4 кВ ТП-50(С-2) до ВРУ МКЖД по ул.Ленина,49(линия 2), г.Железноводск, L=0,061 км (АВБбШв 4х240)</v>
      </c>
      <c r="C65" s="506" t="str">
        <f>1!C61</f>
        <v>G_Gelezno_ТР8</v>
      </c>
      <c r="D65" s="104" t="s">
        <v>368</v>
      </c>
      <c r="E65" s="104" t="s">
        <v>368</v>
      </c>
      <c r="F65" s="236"/>
    </row>
    <row r="66" spans="1:6" s="5" customFormat="1" ht="15.75">
      <c r="A66" s="509" t="str">
        <f>1!A62</f>
        <v>1.4.2.9</v>
      </c>
      <c r="B66" s="170" t="str">
        <f>1!B62</f>
        <v>Строительство КТП-105 ул.Октябрьская, 96 Б, п.Иноземцево (250 кВА)</v>
      </c>
      <c r="C66" s="506" t="str">
        <f>1!C62</f>
        <v>G_Gelezno_ТР9</v>
      </c>
      <c r="D66" s="104" t="s">
        <v>368</v>
      </c>
      <c r="E66" s="104" t="s">
        <v>368</v>
      </c>
      <c r="F66" s="236"/>
    </row>
    <row r="67" spans="1:6" s="5" customFormat="1" ht="15.75">
      <c r="A67" s="509" t="str">
        <f>1!A63</f>
        <v>1.4.2.10</v>
      </c>
      <c r="B67" s="170" t="str">
        <f>1!B63</f>
        <v>Строительство КЛ-0,4 кВ от РП-2 (С-1) до ВРУ тренировочной площадки стадииона "Спартак" ул.Калинина,3 (линия 1), г.Железноводск, L= 0,245 км (АВБбШв 4х240)</v>
      </c>
      <c r="C67" s="506" t="str">
        <f>1!C63</f>
        <v>G_Gelezno_ТР10</v>
      </c>
      <c r="D67" s="104" t="s">
        <v>368</v>
      </c>
      <c r="E67" s="104" t="s">
        <v>368</v>
      </c>
      <c r="F67" s="236"/>
    </row>
    <row r="68" spans="1:6" s="5" customFormat="1" ht="15.75">
      <c r="A68" s="509" t="str">
        <f>1!A64</f>
        <v>1.4.2.11</v>
      </c>
      <c r="B68" s="170" t="str">
        <f>1!B64</f>
        <v>Строительство КЛ-0,4 кВ от РП-2 (С-2) до ВРУ тренировочной площадки стадиона "Спартак" ул.Калинина,3 (линия 2), г.Железноводск, L= 0,245 км (АВБбШв 4х240)</v>
      </c>
      <c r="C68" s="506" t="str">
        <f>1!C64</f>
        <v>G_Gelezno_ТР11</v>
      </c>
      <c r="D68" s="104" t="s">
        <v>368</v>
      </c>
      <c r="E68" s="104" t="s">
        <v>368</v>
      </c>
      <c r="F68" s="236"/>
    </row>
    <row r="69" spans="1:6" s="5" customFormat="1" ht="15.75">
      <c r="A69" s="509" t="str">
        <f>1!A65</f>
        <v>1.4.2.12</v>
      </c>
      <c r="B69" s="170" t="str">
        <f>1!B65</f>
        <v>Строительство КТП-248 ул.Тихая,8, п.Иноземцево (ТМГ-250 кВА)</v>
      </c>
      <c r="C69" s="506" t="str">
        <f>1!C65</f>
        <v>G_Gelezno_ТР12</v>
      </c>
      <c r="D69" s="104" t="s">
        <v>368</v>
      </c>
      <c r="E69" s="104" t="s">
        <v>368</v>
      </c>
      <c r="F69" s="236"/>
    </row>
    <row r="70" spans="1:6" s="5" customFormat="1" ht="15.75">
      <c r="A70" s="509" t="str">
        <f>1!A66</f>
        <v>1.4.2.13</v>
      </c>
      <c r="B70" s="170" t="str">
        <f>1!B66</f>
        <v>Строительство ВЛ-0,4 кВ от КТП-233 до ВРУ магазина ул.Вокзальная, 46А, п.Иноземцево, L= 0,408 км (СИП-2 3х50+1х54,6)</v>
      </c>
      <c r="C70" s="506" t="str">
        <f>1!C66</f>
        <v>G_Gelezno_ТР13</v>
      </c>
      <c r="D70" s="104" t="s">
        <v>368</v>
      </c>
      <c r="E70" s="104" t="s">
        <v>368</v>
      </c>
      <c r="F70" s="236"/>
    </row>
    <row r="71" spans="1:6" s="5" customFormat="1" ht="15.75">
      <c r="A71" s="509" t="str">
        <f>1!A67</f>
        <v>1.4.2.14</v>
      </c>
      <c r="B71" s="170" t="str">
        <f>1!B67</f>
        <v>Строительство ВЛ-0,4 кВ от РУ-0,4кВ ТП-75 (С-1) по ул.Ленина район дома 123, г.Железноводск, L= 0,143 км (СИП-2 3х50+1х54,6)</v>
      </c>
      <c r="C71" s="506" t="str">
        <f>1!C67</f>
        <v>G_Gelezno_ТР14</v>
      </c>
      <c r="D71" s="104" t="s">
        <v>368</v>
      </c>
      <c r="E71" s="104" t="s">
        <v>368</v>
      </c>
      <c r="F71" s="236"/>
    </row>
    <row r="72" spans="1:6" s="5" customFormat="1" ht="15.75">
      <c r="A72" s="509" t="str">
        <f>1!A68</f>
        <v>1.4.2.15</v>
      </c>
      <c r="B72" s="170" t="str">
        <f>1!B68</f>
        <v>Строительство ВЛ-0,4кВ от РУ-0,4 кВ ТП-75 (С-2) по ул.Ленина район дома 123, г.Железноводск, L= 0,143 км (СИП-2 3х50+1х54,6)</v>
      </c>
      <c r="C72" s="506" t="str">
        <f>1!C68</f>
        <v>G_Gelezno_ТР15</v>
      </c>
      <c r="D72" s="104" t="s">
        <v>368</v>
      </c>
      <c r="E72" s="104" t="s">
        <v>368</v>
      </c>
      <c r="F72" s="236"/>
    </row>
    <row r="73" spans="1:6" s="5" customFormat="1" ht="15.75">
      <c r="A73" s="509" t="str">
        <f>1!A69</f>
        <v>1.4.2.16</v>
      </c>
      <c r="B73" s="170" t="str">
        <f>1!B69</f>
        <v>Строительство КЛ-0,4 кВ от ВРУ-1 до ВРУ-2 в ЖК "Вишнёвый сад" (2-ая очередь), п.Иноземцево, L= 0,04 км (АВБбШв 4х120)</v>
      </c>
      <c r="C73" s="506" t="str">
        <f>1!C69</f>
        <v>G_Gelezno_ТР16</v>
      </c>
      <c r="D73" s="104" t="s">
        <v>368</v>
      </c>
      <c r="E73" s="104" t="s">
        <v>368</v>
      </c>
      <c r="F73" s="236"/>
    </row>
    <row r="74" spans="1:6" s="5" customFormat="1" ht="15.75">
      <c r="A74" s="509" t="str">
        <f>1!A70</f>
        <v>1.4.2.17</v>
      </c>
      <c r="B74" s="170" t="str">
        <f>1!B70</f>
        <v>Строительство КЛ-0,4кВ от ВРУ-11 до ВРУ-12 в ЖК"Вишнёвый сад" (2-ая очередь), п.Иноземцево, L= 0,035 км (АВБбШв 4х95)</v>
      </c>
      <c r="C74" s="506" t="str">
        <f>1!C70</f>
        <v>G_Gelezno_ТР17</v>
      </c>
      <c r="D74" s="104" t="s">
        <v>368</v>
      </c>
      <c r="E74" s="104" t="s">
        <v>368</v>
      </c>
      <c r="F74" s="236"/>
    </row>
    <row r="75" spans="1:6" s="5" customFormat="1" ht="15.75">
      <c r="A75" s="509" t="str">
        <f>1!A71</f>
        <v>1.4.2.18</v>
      </c>
      <c r="B75" s="170" t="str">
        <f>1!B71</f>
        <v>Строительство КЛ-0,4кВ от ВРУ-13 до ВРУ-14 в ЖК"Вишнёвый сад" (2-ая очередь), п.Иноземцево, L= 0,035 км (АВБбШв 4х95)</v>
      </c>
      <c r="C75" s="506" t="str">
        <f>1!C71</f>
        <v>G_Gelezno_ТР18</v>
      </c>
      <c r="D75" s="104" t="s">
        <v>368</v>
      </c>
      <c r="E75" s="104" t="s">
        <v>368</v>
      </c>
      <c r="F75" s="236"/>
    </row>
    <row r="76" spans="1:6" s="5" customFormat="1" ht="15.75">
      <c r="A76" s="509" t="str">
        <f>1!A72</f>
        <v>1.4.2.19</v>
      </c>
      <c r="B76" s="170" t="str">
        <f>1!B72</f>
        <v>Строительство КЛ-0,4 кВ от ВРУ-9 до ВРУ-10 в ЖК "Вишнёвый сад" (2-ая очередь), п.Иноземцево, L= 0,035 км (АВБбШв 4х95)</v>
      </c>
      <c r="C76" s="506" t="str">
        <f>1!C72</f>
        <v>G_Gelezno_ТР19</v>
      </c>
      <c r="D76" s="104" t="s">
        <v>368</v>
      </c>
      <c r="E76" s="104" t="s">
        <v>368</v>
      </c>
      <c r="F76" s="236"/>
    </row>
    <row r="77" spans="1:6" s="5" customFormat="1" ht="15.75">
      <c r="A77" s="509" t="str">
        <f>1!A73</f>
        <v>1.4.2.20</v>
      </c>
      <c r="B77" s="170" t="str">
        <f>1!B73</f>
        <v>Строительство КЛ-0,4 кВ от РУ-0,4 кВ 2КТП-244 до ВРУ-10 в ЖК "Вишнёвый сад" (2-ая очередь), п.Иноземцево, L= 0,19 км (АВБбШв 4х120)</v>
      </c>
      <c r="C77" s="506" t="str">
        <f>1!C73</f>
        <v>G_Gelezno_ТР20</v>
      </c>
      <c r="D77" s="104" t="s">
        <v>368</v>
      </c>
      <c r="E77" s="104" t="s">
        <v>368</v>
      </c>
      <c r="F77" s="236"/>
    </row>
    <row r="78" spans="1:6" s="5" customFormat="1" ht="15.75">
      <c r="A78" s="509" t="str">
        <f>1!A74</f>
        <v>1.4.2.21</v>
      </c>
      <c r="B78" s="170" t="str">
        <f>1!B74</f>
        <v>Строительство КЛ-0,4 кВ от РУ-0,4 кВ 2КТП-244 до ВРУ-11 в ЖК "Вишнёвый сад" (2-ая очередь), п.Иноземцево, L= 0,14 км (АВБбШв 4х95)</v>
      </c>
      <c r="C78" s="506" t="str">
        <f>1!C74</f>
        <v>G_Gelezno_ТР21</v>
      </c>
      <c r="D78" s="104" t="s">
        <v>368</v>
      </c>
      <c r="E78" s="104" t="s">
        <v>368</v>
      </c>
      <c r="F78" s="236"/>
    </row>
    <row r="79" spans="1:6" s="5" customFormat="1" ht="15.75">
      <c r="A79" s="509" t="str">
        <f>1!A75</f>
        <v>1.4.2.22</v>
      </c>
      <c r="B79" s="170" t="str">
        <f>1!B75</f>
        <v>Строительство КЛ-0,4 кВ от РУ-0,4 кВ 2КТП-244 до ВРУ-13 в ЖК "Вишнёвый сад" (2-ая очередь), п.Иноземцево, L= 0,06 км (АВБбШв 4х120)</v>
      </c>
      <c r="C79" s="506" t="str">
        <f>1!C75</f>
        <v>G_Gelezno_ТР22</v>
      </c>
      <c r="D79" s="104" t="s">
        <v>368</v>
      </c>
      <c r="E79" s="104" t="s">
        <v>368</v>
      </c>
      <c r="F79" s="236"/>
    </row>
    <row r="80" spans="1:6" s="5" customFormat="1" ht="15.75">
      <c r="A80" s="509" t="str">
        <f>1!A76</f>
        <v>1.4.2.23</v>
      </c>
      <c r="B80" s="170" t="str">
        <f>1!B76</f>
        <v>Строительство КЛ-0,4 кВ от РУ-0,4 кВ 2КТП-244 до ВРУ-14 в ЖК "Вишнёвый сад" (2-ая очередь), п.Иноземцево, L= 0,1 км (АВБбШв 4х120)</v>
      </c>
      <c r="C80" s="506" t="str">
        <f>1!C76</f>
        <v>G_Gelezno_ТР23</v>
      </c>
      <c r="D80" s="104" t="s">
        <v>368</v>
      </c>
      <c r="E80" s="104" t="s">
        <v>368</v>
      </c>
      <c r="F80" s="236"/>
    </row>
    <row r="81" spans="1:6" s="5" customFormat="1" ht="15.75">
      <c r="A81" s="509" t="str">
        <f>1!A77</f>
        <v>1.4.2.24</v>
      </c>
      <c r="B81" s="170" t="str">
        <f>1!B77</f>
        <v>Строительство КЛ-0,4 кВ от РУ-0,4 кВ 2КТП-244 до ВРУ-16 в ЖК "Вишнёвый сад" (2-ая очередь), п.Иноземцево, L= 0,11 км (АВБбШв 4х95)</v>
      </c>
      <c r="C81" s="506" t="str">
        <f>1!C77</f>
        <v>G_Gelezno_ТР24</v>
      </c>
      <c r="D81" s="104" t="s">
        <v>368</v>
      </c>
      <c r="E81" s="104" t="s">
        <v>368</v>
      </c>
      <c r="F81" s="236"/>
    </row>
    <row r="82" spans="1:6" s="5" customFormat="1" ht="15.75">
      <c r="A82" s="509" t="str">
        <f>1!A78</f>
        <v>1.4.2.25</v>
      </c>
      <c r="B82" s="170" t="str">
        <f>1!B78</f>
        <v>Строительство КЛ-0,4 кВ от РУ-0,4 кВ 2КТП-244 до ВРУ-9 в ЖК "Вишнёвый сад" (2-ая очередь), п.Иноземцево, L= 0,215 км (АВБбШв 4х120)</v>
      </c>
      <c r="C82" s="506" t="str">
        <f>1!C78</f>
        <v>G_Gelezno_ТР25</v>
      </c>
      <c r="D82" s="104" t="s">
        <v>368</v>
      </c>
      <c r="E82" s="104" t="s">
        <v>368</v>
      </c>
      <c r="F82" s="236"/>
    </row>
    <row r="83" spans="1:6" s="5" customFormat="1" ht="15.75">
      <c r="A83" s="509" t="str">
        <f>1!A79</f>
        <v>1.4.2.26</v>
      </c>
      <c r="B83" s="170" t="str">
        <f>1!B79</f>
        <v>Строительство КЛ-0,4 кВ от ВРУ-1 МКЖД до ВРУ-2 МКЖД ул.Тихая,8, п.Иноземцево, L= 0,071 км (АВВГ 4х35)</v>
      </c>
      <c r="C83" s="506" t="str">
        <f>1!C79</f>
        <v>G_Gelezno_ТР26</v>
      </c>
      <c r="D83" s="104" t="s">
        <v>368</v>
      </c>
      <c r="E83" s="104" t="s">
        <v>368</v>
      </c>
      <c r="F83" s="236"/>
    </row>
    <row r="84" spans="1:6" s="5" customFormat="1" ht="15.75">
      <c r="A84" s="509" t="str">
        <f>1!A80</f>
        <v>1.4.2.27</v>
      </c>
      <c r="B84" s="170" t="str">
        <f>1!B80</f>
        <v>Строительство КЛ-0,4 кВ от ВРУ-2 МКЖД до ВРУ-3 МКЖД ул.Тихая,8, п.Иноземцево, L= 0,025 км (АВВГ 4х35)</v>
      </c>
      <c r="C84" s="506" t="str">
        <f>1!C80</f>
        <v>G_Gelezno_ТР27</v>
      </c>
      <c r="D84" s="104" t="s">
        <v>368</v>
      </c>
      <c r="E84" s="104" t="s">
        <v>368</v>
      </c>
      <c r="F84" s="236"/>
    </row>
    <row r="85" spans="1:6" s="5" customFormat="1" ht="15.75">
      <c r="A85" s="509" t="str">
        <f>1!A81</f>
        <v>1.4.2.28</v>
      </c>
      <c r="B85" s="170" t="str">
        <f>1!B81</f>
        <v>Строительство КЛ-0,4 кВ от ВРУ-3 МКЖД до РУ-0,4 кВ КТП-248 ул.Тихая,8, п.Иноземцево, L= 0,107 км (АВВГ 4х35)</v>
      </c>
      <c r="C85" s="506" t="str">
        <f>1!C81</f>
        <v>G_Gelezno_ТР28</v>
      </c>
      <c r="D85" s="104" t="s">
        <v>368</v>
      </c>
      <c r="E85" s="104" t="s">
        <v>368</v>
      </c>
      <c r="F85" s="236"/>
    </row>
    <row r="86" spans="1:6" s="5" customFormat="1" ht="15.75">
      <c r="A86" s="509" t="str">
        <f>1!A82</f>
        <v>1.4.2.29</v>
      </c>
      <c r="B86" s="170" t="str">
        <f>1!B82</f>
        <v>Строительство КЛ-0,4 кВ от РУ-0,4 кВ КТП-248 до ВРУ-1 МКЖД ул.Тихая,8, п.Иноземцево, L= 0,102 км (АВВГ 4х35)</v>
      </c>
      <c r="C86" s="506" t="str">
        <f>1!C82</f>
        <v>G_Gelezno_ТР29</v>
      </c>
      <c r="D86" s="104" t="s">
        <v>368</v>
      </c>
      <c r="E86" s="104" t="s">
        <v>368</v>
      </c>
      <c r="F86" s="236"/>
    </row>
    <row r="87" spans="1:6" s="5" customFormat="1" ht="15.75">
      <c r="A87" s="509" t="str">
        <f>1!A83</f>
        <v>1.4.2.30</v>
      </c>
      <c r="B87" s="170" t="str">
        <f>1!B83</f>
        <v>Строительство КЛ-0,4 кВ от РУ-0,4 кВ КТП-105 до РЩ МКЖД ул.Октябрьская,96 Б, г.Железноводск, L= 0,186 км (АВБбШВ 4х95)</v>
      </c>
      <c r="C87" s="506" t="str">
        <f>1!C83</f>
        <v>G_Gelezno_ТР30</v>
      </c>
      <c r="D87" s="104" t="s">
        <v>368</v>
      </c>
      <c r="E87" s="104" t="s">
        <v>368</v>
      </c>
      <c r="F87" s="236"/>
    </row>
    <row r="88" spans="1:6" s="5" customFormat="1" ht="15.75">
      <c r="A88" s="509" t="str">
        <f>1!A84</f>
        <v>1.4.2.31</v>
      </c>
      <c r="B88" s="170" t="str">
        <f>1!B84</f>
        <v>Строительство КЛ-0,4 кВ от ВРУ-12 до ВРУ-2 в ЖК "Вишнёвый сад" (2-ая очередь), п.Иноземцево, L= 0,1 км (АВБбШВ 4х150)</v>
      </c>
      <c r="C88" s="506" t="str">
        <f>1!C84</f>
        <v>G_Gelezno_ТР31</v>
      </c>
      <c r="D88" s="104" t="s">
        <v>368</v>
      </c>
      <c r="E88" s="104" t="s">
        <v>368</v>
      </c>
      <c r="F88" s="236"/>
    </row>
    <row r="89" spans="1:6" s="5" customFormat="1" ht="15.75">
      <c r="A89" s="509" t="str">
        <f>1!A85</f>
        <v>1.4.2.32</v>
      </c>
      <c r="B89" s="170" t="str">
        <f>1!B85</f>
        <v>Строительство КЛ-0,4кВ от ВРУ-16 до ВРУ-10 в ЖК"Вишнёвый сад" (2-ая очередь), п.Иноземцево, L= 0,035 км (АВБбШВ 4х95)</v>
      </c>
      <c r="C89" s="506" t="str">
        <f>1!C85</f>
        <v>G_Gelezno_ТР32</v>
      </c>
      <c r="D89" s="104" t="s">
        <v>368</v>
      </c>
      <c r="E89" s="104" t="s">
        <v>368</v>
      </c>
      <c r="F89" s="236"/>
    </row>
    <row r="90" spans="1:6" s="5" customFormat="1" ht="15.75">
      <c r="A90" s="509" t="str">
        <f>1!A86</f>
        <v>1.4.2.33</v>
      </c>
      <c r="B90" s="170" t="str">
        <f>1!B86</f>
        <v>Строительство КЛ-0,4 кВ от опоры ВЛ-0,4 кВ № 21 до ВРУ-1 в ЖК "Вишнёвый сад" (2-ая очередь), п.Иноземцево, L= 0,05 км (АВБбШВ 4х120)</v>
      </c>
      <c r="C90" s="506" t="str">
        <f>1!C86</f>
        <v>G_Gelezno_ТР33</v>
      </c>
      <c r="D90" s="104" t="s">
        <v>368</v>
      </c>
      <c r="E90" s="104" t="s">
        <v>368</v>
      </c>
      <c r="F90" s="236"/>
    </row>
    <row r="91" spans="1:6" s="5" customFormat="1" ht="15.75">
      <c r="A91" s="509" t="str">
        <f>1!A87</f>
        <v>1.4.2.34</v>
      </c>
      <c r="B91" s="170" t="str">
        <f>1!B87</f>
        <v>Строительство КЛ-0,4 кВ от РУ-0,4 кВ 2КТП-244 до ВРУ-12 в ЖК "Вишнёвый сад" (2-ая очередь), п.Иноземцево, L= 0,17 км (АВБбШВ 4х185) км</v>
      </c>
      <c r="C91" s="506" t="str">
        <f>1!C87</f>
        <v>G_Gelezno_ТР34</v>
      </c>
      <c r="D91" s="104" t="s">
        <v>368</v>
      </c>
      <c r="E91" s="104" t="s">
        <v>368</v>
      </c>
      <c r="F91" s="236"/>
    </row>
    <row r="92" spans="1:6" s="5" customFormat="1" ht="15.75">
      <c r="A92" s="509" t="str">
        <f>1!A88</f>
        <v>1.4.2.35</v>
      </c>
      <c r="B92" s="170" t="str">
        <f>1!B88</f>
        <v>Строительство КЛ-0,4 кВ от РУ-0,4 кВ 2КТП-244 до ВРУ-15 в ЖК "Вишнёвый сад" (2-ая очередь), п.Иноземцево, L= 0,08 км (АВБбШВ 4х95)</v>
      </c>
      <c r="C92" s="506" t="str">
        <f>1!C88</f>
        <v>G_Gelezno_ТР35</v>
      </c>
      <c r="D92" s="104" t="s">
        <v>368</v>
      </c>
      <c r="E92" s="104" t="s">
        <v>368</v>
      </c>
      <c r="F92" s="236"/>
    </row>
    <row r="93" spans="1:6" s="5" customFormat="1" ht="31.5">
      <c r="A93" s="509" t="str">
        <f>1!A89</f>
        <v>1.4.2.36</v>
      </c>
      <c r="B93" s="170" t="str">
        <f>1!B89</f>
        <v>Строительство ВЛ-0,4 кВ от РУ-0,4 кВ КТП-241 ЖК "Вишнёвый сад" (2-ая очередь), п.Иноземцево, СИП-2 3х150+1х95 - 0,204 км СИП-2 3х120+1х95 - 0,275 км и СИП-2 3х95+1х70 - 0,408 км</v>
      </c>
      <c r="C93" s="506" t="str">
        <f>1!C89</f>
        <v>G_Gelezno_ТР36</v>
      </c>
      <c r="D93" s="104" t="s">
        <v>368</v>
      </c>
      <c r="E93" s="104" t="s">
        <v>368</v>
      </c>
      <c r="F93" s="236"/>
    </row>
    <row r="94" spans="1:6" s="5" customFormat="1" ht="15.75">
      <c r="A94" s="509" t="str">
        <f>1!A90</f>
        <v>1.4.2.37</v>
      </c>
      <c r="B94" s="170" t="str">
        <f>1!B90</f>
        <v>Строительство КТП-249 пер.Промышленный,24, п.Иноземцево (ТМГ-630 кВА)(Линия 2), L=0,143 км</v>
      </c>
      <c r="C94" s="506" t="str">
        <f>1!C90</f>
        <v>G_Gelezno_ТР37</v>
      </c>
      <c r="D94" s="104" t="s">
        <v>368</v>
      </c>
      <c r="E94" s="104" t="s">
        <v>368</v>
      </c>
      <c r="F94" s="236"/>
    </row>
    <row r="95" spans="1:6" s="2" customFormat="1" ht="11.25" customHeight="1" thickBot="1">
      <c r="A95" s="241"/>
      <c r="B95" s="254"/>
      <c r="C95" s="242"/>
      <c r="D95" s="270"/>
      <c r="E95" s="270"/>
      <c r="F95" s="271"/>
    </row>
    <row r="96" spans="1:36" ht="15.75">
      <c r="A96" s="233"/>
      <c r="B96" s="252"/>
      <c r="C96" s="234"/>
      <c r="D96" s="233"/>
      <c r="E96" s="233"/>
      <c r="F96" s="233"/>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ht="15.75">
      <c r="A97" s="233"/>
      <c r="B97" s="252"/>
      <c r="C97" s="234"/>
      <c r="D97" s="233"/>
      <c r="E97" s="233"/>
      <c r="F97" s="233"/>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ht="15.75">
      <c r="A98" s="233"/>
      <c r="B98" s="252"/>
      <c r="C98" s="234"/>
      <c r="D98" s="233"/>
      <c r="E98" s="233"/>
      <c r="F98" s="233"/>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ht="15.75">
      <c r="A99" s="233"/>
      <c r="B99" s="252"/>
      <c r="C99" s="234"/>
      <c r="D99" s="233"/>
      <c r="E99" s="233"/>
      <c r="F99" s="233"/>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ht="15.75">
      <c r="A100" s="233"/>
      <c r="B100" s="252"/>
      <c r="C100" s="234"/>
      <c r="D100" s="233"/>
      <c r="E100" s="233"/>
      <c r="F100" s="233"/>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ht="15.75">
      <c r="A101" s="233"/>
      <c r="B101" s="252"/>
      <c r="C101" s="234"/>
      <c r="D101" s="233"/>
      <c r="E101" s="233"/>
      <c r="F101" s="233"/>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ht="15.75">
      <c r="A102" s="233"/>
      <c r="B102" s="252"/>
      <c r="C102" s="234"/>
      <c r="D102" s="233"/>
      <c r="E102" s="233"/>
      <c r="F102" s="233"/>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ht="15.75">
      <c r="A103" s="233"/>
      <c r="B103" s="603" t="s">
        <v>595</v>
      </c>
      <c r="C103" s="603"/>
      <c r="D103" s="603"/>
      <c r="E103" s="603"/>
      <c r="F103" s="603"/>
      <c r="G103" s="603"/>
      <c r="H103" s="603"/>
      <c r="I103" s="603"/>
      <c r="J103" s="603"/>
      <c r="K103" s="603"/>
      <c r="L103" s="603"/>
      <c r="M103" s="603"/>
      <c r="N103" s="603"/>
      <c r="O103" s="603"/>
      <c r="P103" s="603"/>
      <c r="Q103" s="603"/>
      <c r="R103" s="603"/>
      <c r="S103" s="603"/>
      <c r="T103" s="603"/>
      <c r="U103" s="603"/>
      <c r="V103" s="603"/>
      <c r="W103" s="2"/>
      <c r="X103" s="2"/>
      <c r="Y103" s="2"/>
      <c r="Z103" s="2"/>
      <c r="AA103" s="2"/>
      <c r="AB103" s="2"/>
      <c r="AC103" s="2"/>
      <c r="AD103" s="2"/>
      <c r="AE103" s="2"/>
      <c r="AF103" s="2"/>
      <c r="AG103" s="2"/>
      <c r="AH103" s="2"/>
      <c r="AI103" s="2"/>
      <c r="AJ103" s="2"/>
    </row>
    <row r="121" ht="13.5" customHeight="1"/>
  </sheetData>
  <sheetProtection/>
  <mergeCells count="12">
    <mergeCell ref="B103:V103"/>
    <mergeCell ref="A23:A26"/>
    <mergeCell ref="B23:B26"/>
    <mergeCell ref="C23:C26"/>
    <mergeCell ref="F23:F26"/>
    <mergeCell ref="D23:E24"/>
    <mergeCell ref="D25:E25"/>
    <mergeCell ref="A17:F17"/>
    <mergeCell ref="A18:F18"/>
    <mergeCell ref="A19:F19"/>
    <mergeCell ref="A22:E22"/>
    <mergeCell ref="A21:F21"/>
  </mergeCells>
  <printOptions/>
  <pageMargins left="0.3937007874015748" right="0.1968503937007874" top="0.7874015748031497" bottom="0.3937007874015748" header="0.11811023622047245" footer="0.11811023622047245"/>
  <pageSetup fitToHeight="1" fitToWidth="1" horizontalDpi="600" verticalDpi="600" orientation="portrait"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Kudryashov_YM</dc:creator>
  <cp:keywords/>
  <dc:description/>
  <cp:lastModifiedBy>Алена Н. Никоркина</cp:lastModifiedBy>
  <cp:lastPrinted>2018-02-26T11:22:22Z</cp:lastPrinted>
  <dcterms:created xsi:type="dcterms:W3CDTF">2009-07-27T10:10:26Z</dcterms:created>
  <dcterms:modified xsi:type="dcterms:W3CDTF">2018-03-02T11:24:10Z</dcterms:modified>
  <cp:category/>
  <cp:version/>
  <cp:contentType/>
  <cp:contentStatus/>
</cp:coreProperties>
</file>